
<file path=[Content_Types].xml><?xml version="1.0" encoding="utf-8"?>
<Types xmlns="http://schemas.openxmlformats.org/package/2006/content-types">
  <Default Extension="bin" ContentType="application/vnd.openxmlformats-officedocument.spreadsheetml.customProperty"/>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printerSettings/printerSettings3.bin" ContentType="application/vnd.openxmlformats-officedocument.spreadsheetml.printerSettings"/>
  <Override PartName="/xl/drawings/drawing3.xml" ContentType="application/vnd.openxmlformats-officedocument.drawing+xml"/>
  <Override PartName="/xl/ctrlProps/ctrlProp6.xml" ContentType="application/vnd.ms-excel.controlproperties+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drawings/drawing4.xml" ContentType="application/vnd.openxmlformats-officedocument.drawing+xml"/>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printerSettings/printerSettings31.bin" ContentType="application/vnd.openxmlformats-officedocument.spreadsheetml.printerSettings"/>
  <Override PartName="/xl/printerSettings/printerSettings32.bin" ContentType="application/vnd.openxmlformats-officedocument.spreadsheetml.printerSettings"/>
  <Override PartName="/xl/printerSettings/printerSettings33.bin" ContentType="application/vnd.openxmlformats-officedocument.spreadsheetml.printerSettings"/>
  <Override PartName="/xl/printerSettings/printerSettings34.bin" ContentType="application/vnd.openxmlformats-officedocument.spreadsheetml.printerSettings"/>
  <Override PartName="/xl/printerSettings/printerSettings35.bin" ContentType="application/vnd.openxmlformats-officedocument.spreadsheetml.printerSettings"/>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ser.DESKTOP-LP1P4U3\Desktop\DMS NUMBERS\09 JUNE 2025\"/>
    </mc:Choice>
  </mc:AlternateContent>
  <bookViews>
    <workbookView xWindow="-105" yWindow="-105" windowWidth="22695" windowHeight="14475" tabRatio="792" firstSheet="1" activeTab="8"/>
  </bookViews>
  <sheets>
    <sheet name="_com.sap.ip.bi.xl.hiddensheet" sheetId="360" state="veryHidden" r:id="rId1"/>
    <sheet name="START" sheetId="336" r:id="rId2"/>
    <sheet name="Instructions" sheetId="329" r:id="rId3"/>
    <sheet name="Template names" sheetId="100" state="veryHidden" r:id="rId4"/>
    <sheet name="Lookup and lists" sheetId="322" state="veryHidden" r:id="rId5"/>
    <sheet name="Org structure" sheetId="332" r:id="rId6"/>
    <sheet name="Contacts" sheetId="362" r:id="rId7"/>
    <sheet name="Calc" sheetId="359" state="hidden" r:id="rId8"/>
    <sheet name="C1-Sum" sheetId="267" r:id="rId9"/>
    <sheet name="C2-FinPerf SC" sheetId="241" r:id="rId10"/>
    <sheet name="C2C" sheetId="330" r:id="rId11"/>
    <sheet name="C2Q" sheetId="339" state="hidden" r:id="rId12"/>
    <sheet name="C3-FinPerf V" sheetId="272" r:id="rId13"/>
    <sheet name="C3C" sheetId="323" r:id="rId14"/>
    <sheet name="C3Q" sheetId="340" state="hidden" r:id="rId15"/>
    <sheet name="C4-FinPerf RE" sheetId="182" r:id="rId16"/>
    <sheet name="C4Q" sheetId="341" state="hidden" r:id="rId17"/>
    <sheet name="C5-Capex" sheetId="268" r:id="rId18"/>
    <sheet name="C5-CQ" sheetId="338" state="hidden" r:id="rId19"/>
    <sheet name="C5C" sheetId="324" r:id="rId20"/>
    <sheet name="C5Q" sheetId="342" state="hidden" r:id="rId21"/>
    <sheet name="C6-FinPos" sheetId="178" r:id="rId22"/>
    <sheet name="C6Q" sheetId="343" state="hidden" r:id="rId23"/>
    <sheet name="C7-CFlow" sheetId="177" r:id="rId24"/>
    <sheet name="C7Q" sheetId="344" state="hidden" r:id="rId25"/>
    <sheet name="SC1" sheetId="251" r:id="rId26"/>
    <sheet name="SC2" sheetId="174" r:id="rId27"/>
    <sheet name="SC3" sheetId="175" r:id="rId28"/>
    <sheet name="SC3Q" sheetId="345" state="hidden" r:id="rId29"/>
    <sheet name="SC4" sheetId="173" r:id="rId30"/>
    <sheet name="SC4Q" sheetId="346" state="hidden" r:id="rId31"/>
    <sheet name="SC5" sheetId="238" r:id="rId32"/>
    <sheet name="SC5Q" sheetId="347" state="hidden" r:id="rId33"/>
    <sheet name="SC6" sheetId="270" r:id="rId34"/>
    <sheet name="SC6Q" sheetId="348" state="hidden" r:id="rId35"/>
    <sheet name="SC7(1)" sheetId="269" r:id="rId36"/>
    <sheet name="SC7(2)" sheetId="334" r:id="rId37"/>
    <sheet name="SC8" sheetId="318" r:id="rId38"/>
    <sheet name="SC8Q" sheetId="351" state="hidden" r:id="rId39"/>
    <sheet name="SC9" sheetId="317" r:id="rId40"/>
    <sheet name="SC9 Q" sheetId="352" state="hidden" r:id="rId41"/>
    <sheet name="SC10" sheetId="181" r:id="rId42"/>
    <sheet name="SC11" sheetId="183" r:id="rId43"/>
    <sheet name="SC12" sheetId="180" r:id="rId44"/>
    <sheet name="SC12Q" sheetId="353" state="hidden" r:id="rId45"/>
    <sheet name="SC13a" sheetId="242" r:id="rId46"/>
    <sheet name="SC13AQ" sheetId="354" state="hidden" r:id="rId47"/>
    <sheet name="SC13b" sheetId="326" r:id="rId48"/>
    <sheet name="SC13BQ" sheetId="355" state="hidden" r:id="rId49"/>
    <sheet name="SC13c" sheetId="325" r:id="rId50"/>
    <sheet name="SC13CQ" sheetId="356" state="hidden" r:id="rId51"/>
    <sheet name="SC13d" sheetId="333" r:id="rId52"/>
    <sheet name="SC13DQ" sheetId="357" state="hidden" r:id="rId53"/>
    <sheet name="SC13e" sheetId="335" r:id="rId54"/>
    <sheet name="SC13EQ" sheetId="358" state="hidden" r:id="rId55"/>
    <sheet name="C schedule validations" sheetId="361" state="hidden" r:id="rId56"/>
    <sheet name="SC71charts" sheetId="172" r:id="rId57"/>
  </sheets>
  <definedNames>
    <definedName name="_xlnm._FilterDatabase" localSheetId="5" hidden="1">'Org structure'!$A$1:$D$178</definedName>
    <definedName name="Approve2">'Template names'!$B$106</definedName>
    <definedName name="Approve3">'Template names'!$B$103</definedName>
    <definedName name="basedesc">'Template names'!$D$36:$D$36</definedName>
    <definedName name="Capytd">SC13a!$M$8</definedName>
    <definedName name="Cash1">'Template names'!$B$69</definedName>
    <definedName name="Cash2">'Template names'!$B$70</definedName>
    <definedName name="Consolques">'Template names'!$A$75</definedName>
    <definedName name="date">Calc!$C$5</definedName>
    <definedName name="desc">'Template names'!$B$27</definedName>
    <definedName name="FinYear" localSheetId="2">Instructions!$X$38</definedName>
    <definedName name="Head1">Calc!$C$7</definedName>
    <definedName name="Head10">'Template names'!$B$13</definedName>
    <definedName name="Head11">'Template names'!$B$14</definedName>
    <definedName name="Head12">'Template names'!$B$15</definedName>
    <definedName name="Head13">'Template names'!$B$16</definedName>
    <definedName name="Head14">'Template names'!$B$17</definedName>
    <definedName name="Head15">'Template names'!$B$18</definedName>
    <definedName name="Head16">'Template names'!$B$19</definedName>
    <definedName name="Head17">'Template names'!$B$20</definedName>
    <definedName name="Head18">'Template names'!$B$21</definedName>
    <definedName name="Head19">'Template names'!$B$22</definedName>
    <definedName name="Head2">Calc!$F$15</definedName>
    <definedName name="Head20">'Template names'!$B$23</definedName>
    <definedName name="Head21">'Template names'!$B$24</definedName>
    <definedName name="Head22">'Template names'!$B$25</definedName>
    <definedName name="Head23">'Template names'!$B$26</definedName>
    <definedName name="Head24">'Template names'!$B$27</definedName>
    <definedName name="head27">'Template names'!$B$30</definedName>
    <definedName name="head27a">'Template names'!$B$31</definedName>
    <definedName name="Head29">'Template names'!$B$33</definedName>
    <definedName name="Head2A">'Template names'!$B$4</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40">'Template names'!$B$44</definedName>
    <definedName name="Head41">'Template names'!$B$45</definedName>
    <definedName name="Head42">'Template names'!$B$46</definedName>
    <definedName name="Head43">'Template names'!$B$47</definedName>
    <definedName name="Head44">'Template names'!$B$48</definedName>
    <definedName name="Head45">'Template names'!$B$49</definedName>
    <definedName name="head46">'Template names'!$B$50</definedName>
    <definedName name="Head47">'Template names'!$B$51</definedName>
    <definedName name="Head48">'Template names'!$B$52</definedName>
    <definedName name="Head49">'Template names'!$B$53</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'Template names'!$B$7</definedName>
    <definedName name="Head5b">'Template names'!$B$8</definedName>
    <definedName name="Head6">'Template names'!$B$9</definedName>
    <definedName name="Head7">'Template names'!$B$10</definedName>
    <definedName name="Head8">'Template names'!$B$11</definedName>
    <definedName name="Head9">'Template names'!$B$12</definedName>
    <definedName name="Headings">'Lookup and lists'!$A$1:$O$7</definedName>
    <definedName name="Month">'Template names'!$D$64</definedName>
    <definedName name="MTREF" localSheetId="2">Instructions!$X$36</definedName>
    <definedName name="MTREF">Instructions!$X$36</definedName>
    <definedName name="muni">Calc!$A$1</definedName>
    <definedName name="MuniEntities">'Template names'!$B$74</definedName>
    <definedName name="MuniType">'Template names'!$D$74</definedName>
    <definedName name="NatCapexGrantNames">'Lookup and lists'!$T$2:$T$12</definedName>
    <definedName name="NatOpexGrantNames">'Lookup and lists'!$R$2:$R$12</definedName>
    <definedName name="ninety">'SC3'!$P$14</definedName>
    <definedName name="Orgstructurevotes">'Org structure'!$A$2:$A$19</definedName>
    <definedName name="_xlnm.Print_Area" localSheetId="8">'C1-Sum'!$A$1:$J$56</definedName>
    <definedName name="_xlnm.Print_Area" localSheetId="9">'C2-FinPerf SC'!$A$1:$K$50</definedName>
    <definedName name="_xlnm.Print_Area" localSheetId="12">'C3-FinPerf V'!$A$1:$K$40</definedName>
    <definedName name="_xlnm.Print_Area" localSheetId="15">'C4-FinPerf RE'!$A$1:$K$60</definedName>
    <definedName name="_xlnm.Print_Area" localSheetId="17">'C5-Capex'!$A$1:$K$82</definedName>
    <definedName name="_xlnm.Print_Area" localSheetId="21">'C6-FinPos'!$A$1:$G$51</definedName>
    <definedName name="_xlnm.Print_Area" localSheetId="23">'C7-CFlow'!$A$1:$K$41</definedName>
    <definedName name="_xlnm.Print_Area" localSheetId="2">Instructions!$A$1:$M$48</definedName>
    <definedName name="_xlnm.Print_Area" localSheetId="25">'SC1'!$A$1:$E$40</definedName>
    <definedName name="_xlnm.Print_Area" localSheetId="41">'SC10'!$A$1:$K$54</definedName>
    <definedName name="_xlnm.Print_Area" localSheetId="42">'SC11'!$A$1:$K$43</definedName>
    <definedName name="_xlnm.Print_Area" localSheetId="43">'SC12'!$A$1:$J$18</definedName>
    <definedName name="_xlnm.Print_Area" localSheetId="45">SC13a!$A$1:$K$172</definedName>
    <definedName name="_xlnm.Print_Area" localSheetId="26">'SC2'!$A$1:$H$32</definedName>
    <definedName name="_xlnm.Print_Area" localSheetId="27">'SC3'!$A$1:$O$21</definedName>
    <definedName name="_xlnm.Print_Area" localSheetId="29">'SC4'!$A$1:$K$16</definedName>
    <definedName name="_xlnm.Print_Area" localSheetId="31">'SC5'!$A$1:$J$30</definedName>
    <definedName name="_xlnm.Print_Area" localSheetId="33">'SC6'!$A$1:$K$61</definedName>
    <definedName name="_xlnm.Print_Area" localSheetId="35">'SC7(1)'!$A$1:$K$57</definedName>
    <definedName name="_xlnm.Print_Area" localSheetId="36">'SC7(2)'!$A$1:$G$49</definedName>
    <definedName name="_xlnm.Print_Area" localSheetId="37">'SC8'!$A$1:$K$121</definedName>
    <definedName name="_xlnm.Print_Area" localSheetId="39">'SC9'!$A$1:$Q$52</definedName>
    <definedName name="ProvCapexGrantsNames">'Lookup and lists'!$U$2:$U$7</definedName>
    <definedName name="ProvOpexGrantNames">'Lookup and lists'!$S$2:$S$7</definedName>
    <definedName name="RandM">'Template names'!$B$71</definedName>
    <definedName name="result">'Template names'!$B$32</definedName>
    <definedName name="S71A">'Template names'!$B$79</definedName>
    <definedName name="S71B">'Template names'!$B$80</definedName>
    <definedName name="s71B8">'Template names'!$B$91</definedName>
    <definedName name="s71B9">'Template names'!$B$92</definedName>
    <definedName name="S71C">'Template names'!$B$78</definedName>
    <definedName name="S71D">'Template names'!$B$81</definedName>
    <definedName name="S71E">'Template names'!$B$82</definedName>
    <definedName name="S71F">'Template names'!$B$83</definedName>
    <definedName name="S71G">'Template names'!$B$84</definedName>
    <definedName name="S71H">'Template names'!$B$85</definedName>
    <definedName name="S71I">'Template names'!$B$86</definedName>
    <definedName name="S71J">'Template names'!$B$87</definedName>
    <definedName name="S71K">'Template names'!$B$88</definedName>
    <definedName name="S71L">'Template names'!$B$89</definedName>
    <definedName name="S71M">'Template names'!$B$90</definedName>
    <definedName name="S71N">'Template names'!$B$91</definedName>
    <definedName name="S71O">'Template names'!$B$92</definedName>
    <definedName name="S71P">'Template names'!$B$93</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e">'Template names'!$F$100</definedName>
    <definedName name="s71sum">'Template names'!$B$77</definedName>
    <definedName name="S71T">'Template names'!$B$107</definedName>
    <definedName name="SAPCrosstab1">SC13EQ!$A$1:$J$165</definedName>
    <definedName name="SAPCrosstab10">SC12Q!$A$1:$K$16</definedName>
    <definedName name="SAPCrosstab11">'C5Q'!$A$3:$J$110</definedName>
    <definedName name="SAPCrosstab12">'C5Q'!$M$3:$V$110</definedName>
    <definedName name="SAPCrosstab14">'C7Q'!$M$2:$P$46</definedName>
    <definedName name="SAPCrosstab15">'SC9 Q'!$AK$2:$AV$47</definedName>
    <definedName name="SAPCrosstab16">'C2Q'!$A$2:$J$124</definedName>
    <definedName name="SAPCrosstab17">'C2Q'!$M$2:$V$124</definedName>
    <definedName name="SAPCrosstab18">'C3Q'!$A$2:$J$109</definedName>
    <definedName name="SAPCrosstab19">'C3Q'!$N$2:$W$109</definedName>
    <definedName name="SAPCrosstab2">'C5-CQ'!$A$1:$J$24</definedName>
    <definedName name="SAPCrosstab20">'C4Q'!$A$1:$J$55</definedName>
    <definedName name="SAPCrosstab21">SC13BQ!$A$1:$J$165</definedName>
    <definedName name="SAPCrosstab22">SC13CQ!$A$1:$J$165</definedName>
    <definedName name="SAPCrosstab23">SC13DQ!$A$1:$J$165</definedName>
    <definedName name="SAPCrosstab24">SC4Q!$A$1:$J$13</definedName>
    <definedName name="SAPCrosstab25">SC3Q!$A$1:$N$19</definedName>
    <definedName name="SAPCrosstab3">'C5-CQ'!$N$1:$W$10</definedName>
    <definedName name="SAPCrosstab4">'SC9 Q'!$A$3:$P$47</definedName>
    <definedName name="SAPCrosstab5">SC6Q!$A$1:$S$47</definedName>
    <definedName name="SAPCrosstab6">SC8Q!$A$1:$J$41</definedName>
    <definedName name="SAPCrosstab7">'C6Q'!$A$4:$F$44</definedName>
    <definedName name="SAPCrosstab8">SC13AQ!$A$1:$J$165</definedName>
    <definedName name="SAPCrosstab9">'C7Q'!$A$2:$G$45</definedName>
    <definedName name="SFPerf1">'Template names'!$B$65</definedName>
    <definedName name="SFPerf2">'Template names'!$B$66</definedName>
    <definedName name="SFpos1">'Template names'!$B$67</definedName>
    <definedName name="SFpos2">'Template names'!$B$68</definedName>
    <definedName name="Vdesc">'Template names'!$B$29</definedName>
    <definedName name="Vote" localSheetId="5">'Org structure'!$A$2:$A$19</definedName>
    <definedName name="Vote1" localSheetId="5">'Org structure'!$D$3:$D$12</definedName>
    <definedName name="Vote10" localSheetId="5">'Org structure'!$D$108:$D$117</definedName>
    <definedName name="Vote11" localSheetId="5">'Org structure'!$D$119:$D$128</definedName>
    <definedName name="Vote12" localSheetId="5">'Org structure'!$D$133:$D$142</definedName>
    <definedName name="Vote13" localSheetId="5">'Org structure'!$D$144:$D$153</definedName>
    <definedName name="Vote14" localSheetId="5">'Org structure'!$D$158:$D$167</definedName>
    <definedName name="Vote15" localSheetId="5">'Org structure'!$D$169:$D$178</definedName>
    <definedName name="Vote2" localSheetId="5">'Org structure'!$D$17:$D$26</definedName>
    <definedName name="Vote3" localSheetId="5">'Org structure'!$D$28:$D$37</definedName>
    <definedName name="Vote4" localSheetId="5">'Org structure'!$D$39:$D$48</definedName>
    <definedName name="Vote5" localSheetId="5">'Org structure'!$D$53:$D$62</definedName>
    <definedName name="Vote6" localSheetId="5">'Org structure'!$D$64:$D$73</definedName>
    <definedName name="Vote7" localSheetId="5">'Org structure'!$D$75:$D$84</definedName>
    <definedName name="Vote8" localSheetId="5">'Org structure'!$D$86:$D$95</definedName>
    <definedName name="Vote9" localSheetId="5">'Org structure'!$D$97:$D$106</definedName>
    <definedName name="YesNo">'Lookup and lists'!$V$2:$V$3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238" l="1"/>
  <c r="O7" i="238"/>
  <c r="O8" i="238"/>
  <c r="O9" i="238"/>
  <c r="O10" i="238"/>
  <c r="O11" i="238"/>
  <c r="O12" i="238"/>
  <c r="O13" i="238"/>
  <c r="O18" i="238"/>
  <c r="O19" i="238"/>
  <c r="O20" i="238"/>
  <c r="O21" i="238"/>
  <c r="O22" i="238"/>
  <c r="O23" i="238"/>
  <c r="O5" i="238"/>
  <c r="D54" i="269"/>
  <c r="D52" i="269" s="1"/>
  <c r="E54" i="269"/>
  <c r="E52" i="269" s="1"/>
  <c r="F54" i="269"/>
  <c r="F52" i="269"/>
  <c r="G54" i="269"/>
  <c r="G52" i="269"/>
  <c r="H54" i="269"/>
  <c r="H52" i="269"/>
  <c r="C52" i="269"/>
  <c r="D47" i="269"/>
  <c r="D45" i="269" s="1"/>
  <c r="D49" i="269"/>
  <c r="D40" i="269"/>
  <c r="D41" i="269"/>
  <c r="D42" i="269"/>
  <c r="D43" i="269"/>
  <c r="D44" i="269"/>
  <c r="E47" i="269"/>
  <c r="E45" i="269" s="1"/>
  <c r="E49" i="269"/>
  <c r="F47" i="269"/>
  <c r="F45" i="269" s="1"/>
  <c r="F49" i="269"/>
  <c r="G47" i="269"/>
  <c r="G49" i="269"/>
  <c r="G45" i="269"/>
  <c r="H47" i="269"/>
  <c r="H45" i="269" s="1"/>
  <c r="H49" i="269"/>
  <c r="D17" i="269"/>
  <c r="D18" i="269"/>
  <c r="D19" i="269"/>
  <c r="D20" i="269"/>
  <c r="D21" i="269"/>
  <c r="D22" i="269"/>
  <c r="D23" i="269"/>
  <c r="D24" i="269"/>
  <c r="D25" i="269"/>
  <c r="D26" i="269"/>
  <c r="D28" i="269"/>
  <c r="D29" i="269"/>
  <c r="D30" i="269"/>
  <c r="E17" i="269"/>
  <c r="E18" i="269"/>
  <c r="E19" i="269"/>
  <c r="E20" i="269"/>
  <c r="E21" i="269"/>
  <c r="E22" i="269"/>
  <c r="E23" i="269"/>
  <c r="E24" i="269"/>
  <c r="E25" i="269"/>
  <c r="E26" i="269"/>
  <c r="E28" i="269"/>
  <c r="E29" i="269"/>
  <c r="E30" i="269"/>
  <c r="F17" i="269"/>
  <c r="F18" i="269"/>
  <c r="F19" i="269"/>
  <c r="F20" i="269"/>
  <c r="F21" i="269"/>
  <c r="F22" i="269"/>
  <c r="F23" i="269"/>
  <c r="F24" i="269"/>
  <c r="F25" i="269"/>
  <c r="F26" i="269"/>
  <c r="F28" i="269"/>
  <c r="F29" i="269"/>
  <c r="F30" i="269"/>
  <c r="G17" i="269"/>
  <c r="G18" i="269"/>
  <c r="G19" i="269"/>
  <c r="G20" i="269"/>
  <c r="G21" i="269"/>
  <c r="G22" i="269"/>
  <c r="G23" i="269"/>
  <c r="G24" i="269"/>
  <c r="G25" i="269"/>
  <c r="G26" i="269"/>
  <c r="G28" i="269"/>
  <c r="G29" i="269"/>
  <c r="G30" i="269"/>
  <c r="H17" i="269"/>
  <c r="H18" i="269"/>
  <c r="H19" i="269"/>
  <c r="H20" i="269"/>
  <c r="H21" i="269"/>
  <c r="H22" i="269"/>
  <c r="H23" i="269"/>
  <c r="H24" i="269"/>
  <c r="H25" i="269"/>
  <c r="H26" i="269"/>
  <c r="H28" i="269"/>
  <c r="H29" i="269"/>
  <c r="H30" i="269"/>
  <c r="H9" i="269"/>
  <c r="H10" i="269"/>
  <c r="H11" i="269"/>
  <c r="H12" i="269"/>
  <c r="H13" i="269"/>
  <c r="H34" i="269"/>
  <c r="H33" i="269"/>
  <c r="C16" i="269"/>
  <c r="D58" i="270"/>
  <c r="D56" i="270"/>
  <c r="E58" i="270"/>
  <c r="E56" i="270"/>
  <c r="F58" i="270"/>
  <c r="F56" i="270" s="1"/>
  <c r="G58" i="270"/>
  <c r="G56" i="270"/>
  <c r="H58" i="270"/>
  <c r="H56" i="270"/>
  <c r="C56" i="270"/>
  <c r="H50" i="270"/>
  <c r="H52" i="270"/>
  <c r="G50" i="270"/>
  <c r="I50" i="270" s="1"/>
  <c r="J50" i="270" s="1"/>
  <c r="G52" i="270"/>
  <c r="G47" i="270"/>
  <c r="F50" i="270"/>
  <c r="F47" i="270" s="1"/>
  <c r="F52" i="270"/>
  <c r="F35" i="270"/>
  <c r="F33" i="270"/>
  <c r="E36" i="334"/>
  <c r="F36" i="334" s="1"/>
  <c r="G36" i="334"/>
  <c r="G6" i="317"/>
  <c r="G7" i="317"/>
  <c r="G8" i="317"/>
  <c r="G9" i="317"/>
  <c r="G10" i="317"/>
  <c r="G12" i="317"/>
  <c r="G13" i="317"/>
  <c r="G14" i="317"/>
  <c r="G15" i="317"/>
  <c r="G16" i="317"/>
  <c r="G17" i="317"/>
  <c r="G18" i="317"/>
  <c r="G19" i="317"/>
  <c r="G20" i="317"/>
  <c r="G23" i="317"/>
  <c r="G24" i="317"/>
  <c r="G25" i="317"/>
  <c r="G26" i="317"/>
  <c r="G27" i="317"/>
  <c r="G28" i="317"/>
  <c r="G30" i="317"/>
  <c r="G31" i="317"/>
  <c r="G34" i="317"/>
  <c r="G35" i="317"/>
  <c r="G36" i="317"/>
  <c r="G37" i="317"/>
  <c r="G38" i="317"/>
  <c r="G40" i="317"/>
  <c r="G41" i="317"/>
  <c r="G42" i="317"/>
  <c r="G43" i="317"/>
  <c r="G46" i="317"/>
  <c r="G47" i="317"/>
  <c r="G48" i="317"/>
  <c r="C16" i="317"/>
  <c r="D16" i="317"/>
  <c r="E16" i="317"/>
  <c r="F16" i="317"/>
  <c r="H16" i="317"/>
  <c r="I16" i="317"/>
  <c r="J16" i="317"/>
  <c r="K16" i="317"/>
  <c r="L16" i="317"/>
  <c r="O16" i="317"/>
  <c r="M16" i="317"/>
  <c r="N16" i="317"/>
  <c r="C19" i="317"/>
  <c r="D19" i="317"/>
  <c r="E19" i="317"/>
  <c r="F19" i="317"/>
  <c r="H19" i="317"/>
  <c r="I19" i="317"/>
  <c r="J19" i="317"/>
  <c r="K19" i="317"/>
  <c r="L19" i="317"/>
  <c r="O19" i="317"/>
  <c r="M19" i="317"/>
  <c r="F6" i="317"/>
  <c r="F7" i="317"/>
  <c r="F8" i="317"/>
  <c r="F9" i="317"/>
  <c r="F10" i="317"/>
  <c r="F12" i="317"/>
  <c r="F13" i="317"/>
  <c r="F14" i="317"/>
  <c r="F15" i="317"/>
  <c r="F17" i="317"/>
  <c r="F18" i="317"/>
  <c r="F20" i="317"/>
  <c r="F23" i="317"/>
  <c r="F24" i="317"/>
  <c r="F25" i="317"/>
  <c r="F26" i="317"/>
  <c r="F27" i="317"/>
  <c r="F28" i="317"/>
  <c r="F30" i="317"/>
  <c r="F31" i="317"/>
  <c r="C9" i="317"/>
  <c r="D9" i="317"/>
  <c r="E9" i="317"/>
  <c r="H9" i="317"/>
  <c r="I9" i="317"/>
  <c r="J9" i="317"/>
  <c r="K9" i="317"/>
  <c r="L9" i="317"/>
  <c r="O9" i="317"/>
  <c r="M9" i="317"/>
  <c r="C20" i="317"/>
  <c r="D20" i="317"/>
  <c r="E20" i="317"/>
  <c r="H20" i="317"/>
  <c r="I20" i="317"/>
  <c r="J20" i="317"/>
  <c r="K20" i="317"/>
  <c r="L20" i="317"/>
  <c r="O20" i="317"/>
  <c r="M20" i="317"/>
  <c r="C14" i="317"/>
  <c r="D14" i="317"/>
  <c r="E14" i="317"/>
  <c r="H14" i="317"/>
  <c r="I14" i="317"/>
  <c r="J14" i="317"/>
  <c r="K14" i="317"/>
  <c r="L14" i="317"/>
  <c r="O14" i="317"/>
  <c r="M14" i="317"/>
  <c r="N14" i="317"/>
  <c r="I6" i="317"/>
  <c r="I7" i="317"/>
  <c r="I8" i="317"/>
  <c r="I10" i="317"/>
  <c r="I12" i="317"/>
  <c r="I13" i="317"/>
  <c r="I15" i="317"/>
  <c r="I17" i="317"/>
  <c r="I18" i="317"/>
  <c r="I23" i="317"/>
  <c r="I24" i="317"/>
  <c r="I25" i="317"/>
  <c r="I26" i="317"/>
  <c r="I27" i="317"/>
  <c r="I28" i="317"/>
  <c r="I30" i="317"/>
  <c r="I31" i="317"/>
  <c r="I34" i="317"/>
  <c r="I35" i="317"/>
  <c r="I36" i="317"/>
  <c r="I37" i="317"/>
  <c r="I38" i="317"/>
  <c r="I40" i="317"/>
  <c r="I41" i="317"/>
  <c r="I42" i="317"/>
  <c r="I43" i="317"/>
  <c r="I46" i="317"/>
  <c r="I47" i="317"/>
  <c r="I48" i="317"/>
  <c r="L6" i="317"/>
  <c r="L7" i="317"/>
  <c r="L8" i="317"/>
  <c r="L21" i="317" s="1"/>
  <c r="L32" i="317" s="1"/>
  <c r="L10" i="317"/>
  <c r="L12" i="317"/>
  <c r="L13" i="317"/>
  <c r="L15" i="317"/>
  <c r="L17" i="317"/>
  <c r="L18" i="317"/>
  <c r="L23" i="317"/>
  <c r="L24" i="317"/>
  <c r="L25" i="317"/>
  <c r="L26" i="317"/>
  <c r="L27" i="317"/>
  <c r="L28" i="317"/>
  <c r="L30" i="317"/>
  <c r="L31" i="317"/>
  <c r="C30" i="317"/>
  <c r="D30" i="317"/>
  <c r="E30" i="317"/>
  <c r="H30" i="317"/>
  <c r="J30" i="317"/>
  <c r="K30" i="317"/>
  <c r="O30" i="317"/>
  <c r="M30" i="317"/>
  <c r="C10" i="317"/>
  <c r="D10" i="317"/>
  <c r="E10" i="317"/>
  <c r="H10" i="317"/>
  <c r="J10" i="317"/>
  <c r="K10" i="317"/>
  <c r="O10" i="317"/>
  <c r="M10" i="317"/>
  <c r="C15" i="317"/>
  <c r="D15" i="317"/>
  <c r="E15" i="317"/>
  <c r="H15" i="317"/>
  <c r="J15" i="317"/>
  <c r="K15" i="317"/>
  <c r="O15" i="317"/>
  <c r="M15" i="317"/>
  <c r="N15" i="317"/>
  <c r="E6" i="317"/>
  <c r="E7" i="317"/>
  <c r="E8" i="317"/>
  <c r="E12" i="317"/>
  <c r="E13" i="317"/>
  <c r="E17" i="317"/>
  <c r="E18" i="317"/>
  <c r="E21" i="317"/>
  <c r="E23" i="317"/>
  <c r="E24" i="317"/>
  <c r="E25" i="317"/>
  <c r="E26" i="317"/>
  <c r="E27" i="317"/>
  <c r="E28" i="317"/>
  <c r="E31" i="317"/>
  <c r="E32" i="317"/>
  <c r="C28" i="317"/>
  <c r="D28" i="317"/>
  <c r="H28" i="317"/>
  <c r="J28" i="317"/>
  <c r="K28" i="317"/>
  <c r="O28" i="317"/>
  <c r="M28" i="317"/>
  <c r="N28" i="317"/>
  <c r="D6" i="317"/>
  <c r="D7" i="317"/>
  <c r="C7" i="317"/>
  <c r="C6" i="317"/>
  <c r="C8" i="317"/>
  <c r="C12" i="317"/>
  <c r="C13" i="317"/>
  <c r="C17" i="317"/>
  <c r="C18" i="317"/>
  <c r="C23" i="317"/>
  <c r="C24" i="317"/>
  <c r="C25" i="317"/>
  <c r="C26" i="317"/>
  <c r="C27" i="317"/>
  <c r="C31" i="317"/>
  <c r="C34" i="317"/>
  <c r="C35" i="317"/>
  <c r="C36" i="317"/>
  <c r="C37" i="317"/>
  <c r="C38" i="317"/>
  <c r="C40" i="317"/>
  <c r="C41" i="317"/>
  <c r="C42" i="317"/>
  <c r="C43" i="317"/>
  <c r="C46" i="317"/>
  <c r="C47" i="317"/>
  <c r="C48" i="317"/>
  <c r="H7" i="317"/>
  <c r="J7" i="317"/>
  <c r="K7" i="317"/>
  <c r="O7" i="317"/>
  <c r="M7" i="317"/>
  <c r="D8" i="317"/>
  <c r="D12" i="317"/>
  <c r="D13" i="317"/>
  <c r="D17" i="317"/>
  <c r="D18" i="317"/>
  <c r="H18" i="317"/>
  <c r="J18" i="317"/>
  <c r="K18" i="317"/>
  <c r="O18" i="317"/>
  <c r="M18" i="317"/>
  <c r="D23" i="317"/>
  <c r="D24" i="317"/>
  <c r="D25" i="317"/>
  <c r="D26" i="317"/>
  <c r="H26" i="317"/>
  <c r="J26" i="317"/>
  <c r="K26" i="317"/>
  <c r="O26" i="317"/>
  <c r="M26" i="317"/>
  <c r="N26" i="317" s="1"/>
  <c r="D27" i="317"/>
  <c r="D31" i="317"/>
  <c r="H31" i="317"/>
  <c r="J31" i="317"/>
  <c r="K31" i="317"/>
  <c r="O31" i="317"/>
  <c r="M31" i="317"/>
  <c r="N31" i="317" s="1"/>
  <c r="D34" i="317"/>
  <c r="D35" i="317"/>
  <c r="D36" i="317"/>
  <c r="D37" i="317"/>
  <c r="D38" i="317"/>
  <c r="D40" i="317"/>
  <c r="D41" i="317"/>
  <c r="N41" i="317" s="1"/>
  <c r="E41" i="317"/>
  <c r="F41" i="317"/>
  <c r="H41" i="317"/>
  <c r="J41" i="317"/>
  <c r="K41" i="317"/>
  <c r="L41" i="317"/>
  <c r="O41" i="317"/>
  <c r="M41" i="317"/>
  <c r="D42" i="317"/>
  <c r="D43" i="317"/>
  <c r="D46" i="317"/>
  <c r="D47" i="317"/>
  <c r="E47" i="317"/>
  <c r="F47" i="317"/>
  <c r="H47" i="317"/>
  <c r="N47" i="317" s="1"/>
  <c r="J47" i="317"/>
  <c r="K47" i="317"/>
  <c r="L47" i="317"/>
  <c r="O47" i="317"/>
  <c r="M47" i="317"/>
  <c r="D48" i="317"/>
  <c r="E37" i="317"/>
  <c r="F37" i="317"/>
  <c r="N37" i="317" s="1"/>
  <c r="H37" i="317"/>
  <c r="J37" i="317"/>
  <c r="K37" i="317"/>
  <c r="L37" i="317"/>
  <c r="O37" i="317"/>
  <c r="M37" i="317"/>
  <c r="H34" i="317"/>
  <c r="H44" i="317" s="1"/>
  <c r="H35" i="317"/>
  <c r="H36" i="317"/>
  <c r="H38" i="317"/>
  <c r="H40" i="317"/>
  <c r="H42" i="317"/>
  <c r="H43" i="317"/>
  <c r="E40" i="317"/>
  <c r="N40" i="317" s="1"/>
  <c r="F40" i="317"/>
  <c r="J40" i="317"/>
  <c r="K40" i="317"/>
  <c r="L40" i="317"/>
  <c r="O40" i="317"/>
  <c r="M40" i="317"/>
  <c r="H12" i="317"/>
  <c r="J12" i="317"/>
  <c r="K12" i="317"/>
  <c r="O12" i="317"/>
  <c r="M12" i="317"/>
  <c r="H13" i="317"/>
  <c r="J13" i="317"/>
  <c r="K13" i="317"/>
  <c r="O13" i="317"/>
  <c r="N13" i="317" s="1"/>
  <c r="M13" i="317"/>
  <c r="H6" i="317"/>
  <c r="H8" i="317"/>
  <c r="H17" i="317"/>
  <c r="H23" i="317"/>
  <c r="H24" i="317"/>
  <c r="H25" i="317"/>
  <c r="H27" i="317"/>
  <c r="F34" i="317"/>
  <c r="F35" i="317"/>
  <c r="F36" i="317"/>
  <c r="F38" i="317"/>
  <c r="F42" i="317"/>
  <c r="F43" i="317"/>
  <c r="E38" i="317"/>
  <c r="J38" i="317"/>
  <c r="K38" i="317"/>
  <c r="L38" i="317"/>
  <c r="O38" i="317"/>
  <c r="M38" i="317"/>
  <c r="N38" i="317"/>
  <c r="F46" i="317"/>
  <c r="E46" i="317"/>
  <c r="H46" i="317"/>
  <c r="J46" i="317"/>
  <c r="K46" i="317"/>
  <c r="L46" i="317"/>
  <c r="O46" i="317"/>
  <c r="M46" i="317"/>
  <c r="F48" i="317"/>
  <c r="N48" i="317" s="1"/>
  <c r="J23" i="317"/>
  <c r="K23" i="317"/>
  <c r="O23" i="317"/>
  <c r="M23" i="317"/>
  <c r="J24" i="317"/>
  <c r="K24" i="317"/>
  <c r="O24" i="317"/>
  <c r="M24" i="317"/>
  <c r="J8" i="317"/>
  <c r="K8" i="317"/>
  <c r="O8" i="317"/>
  <c r="M8" i="317"/>
  <c r="J25" i="317"/>
  <c r="K25" i="317"/>
  <c r="O25" i="317"/>
  <c r="M25" i="317"/>
  <c r="E34" i="317"/>
  <c r="E35" i="317"/>
  <c r="E36" i="317"/>
  <c r="E42" i="317"/>
  <c r="J42" i="317"/>
  <c r="K42" i="317"/>
  <c r="L42" i="317"/>
  <c r="O42" i="317"/>
  <c r="M42" i="317"/>
  <c r="N42" i="317"/>
  <c r="L34" i="317"/>
  <c r="L35" i="317"/>
  <c r="L36" i="317"/>
  <c r="L43" i="317"/>
  <c r="E43" i="317"/>
  <c r="E48" i="317"/>
  <c r="J6" i="317"/>
  <c r="J17" i="317"/>
  <c r="J27" i="317"/>
  <c r="J36" i="317"/>
  <c r="K36" i="317"/>
  <c r="O36" i="317"/>
  <c r="M36" i="317"/>
  <c r="J43" i="317"/>
  <c r="K43" i="317"/>
  <c r="O43" i="317"/>
  <c r="N43" i="317" s="1"/>
  <c r="M43" i="317"/>
  <c r="M34" i="317"/>
  <c r="M35" i="317"/>
  <c r="H48" i="317"/>
  <c r="J48" i="317"/>
  <c r="K48" i="317"/>
  <c r="L48" i="317"/>
  <c r="O48" i="317"/>
  <c r="M48" i="317"/>
  <c r="J35" i="317"/>
  <c r="J34" i="317"/>
  <c r="K35" i="317"/>
  <c r="O35" i="317"/>
  <c r="K34" i="317"/>
  <c r="K44" i="317" s="1"/>
  <c r="K17" i="317"/>
  <c r="O17" i="317"/>
  <c r="M17" i="317"/>
  <c r="K27" i="317"/>
  <c r="O27" i="317"/>
  <c r="M27" i="317"/>
  <c r="O34" i="317"/>
  <c r="C51" i="317"/>
  <c r="O51" i="317" s="1"/>
  <c r="G40" i="177"/>
  <c r="K54" i="269"/>
  <c r="K52" i="269"/>
  <c r="K47" i="269"/>
  <c r="K49" i="269"/>
  <c r="K45" i="269"/>
  <c r="K41" i="269"/>
  <c r="K40" i="269"/>
  <c r="K42" i="269"/>
  <c r="K43" i="269"/>
  <c r="K44" i="269"/>
  <c r="E41" i="269"/>
  <c r="F41" i="269"/>
  <c r="G41" i="269"/>
  <c r="G40" i="269"/>
  <c r="G42" i="269"/>
  <c r="G43" i="269"/>
  <c r="G44" i="269"/>
  <c r="H41" i="269"/>
  <c r="E42" i="269"/>
  <c r="F42" i="269"/>
  <c r="F40" i="269"/>
  <c r="F43" i="269"/>
  <c r="F44" i="269"/>
  <c r="H42" i="269"/>
  <c r="H40" i="269"/>
  <c r="H43" i="269"/>
  <c r="H44" i="269"/>
  <c r="H39" i="269"/>
  <c r="E43" i="269"/>
  <c r="E40" i="269"/>
  <c r="E44" i="269"/>
  <c r="K34" i="269"/>
  <c r="K33" i="269" s="1"/>
  <c r="G34" i="269"/>
  <c r="G33" i="269"/>
  <c r="F34" i="269"/>
  <c r="E34" i="269"/>
  <c r="E33" i="269"/>
  <c r="D34" i="269"/>
  <c r="D33" i="269"/>
  <c r="D9" i="269"/>
  <c r="D10" i="269"/>
  <c r="D11" i="269"/>
  <c r="D12" i="269"/>
  <c r="D13" i="269"/>
  <c r="K30" i="269"/>
  <c r="K58" i="270"/>
  <c r="K56" i="270"/>
  <c r="K50" i="270"/>
  <c r="K52" i="270"/>
  <c r="E50" i="270"/>
  <c r="D50" i="270"/>
  <c r="E52" i="270"/>
  <c r="D52" i="270"/>
  <c r="K46" i="270"/>
  <c r="K41" i="270"/>
  <c r="K42" i="270"/>
  <c r="K43" i="270"/>
  <c r="K44" i="270"/>
  <c r="H46" i="270"/>
  <c r="H41" i="270"/>
  <c r="H42" i="270"/>
  <c r="H43" i="270"/>
  <c r="H44" i="270"/>
  <c r="G46" i="270"/>
  <c r="F46" i="270"/>
  <c r="E46" i="270"/>
  <c r="E41" i="270"/>
  <c r="E42" i="270"/>
  <c r="E43" i="270"/>
  <c r="E44" i="270"/>
  <c r="D46" i="270"/>
  <c r="D42" i="270"/>
  <c r="D41" i="270"/>
  <c r="D43" i="270"/>
  <c r="D44" i="270"/>
  <c r="F42" i="270"/>
  <c r="G42" i="270"/>
  <c r="F43" i="270"/>
  <c r="G43" i="270"/>
  <c r="G41" i="270"/>
  <c r="G44" i="270"/>
  <c r="F44" i="270"/>
  <c r="F41" i="270"/>
  <c r="K29" i="270"/>
  <c r="D29" i="270"/>
  <c r="E29" i="270"/>
  <c r="F29" i="270"/>
  <c r="F17" i="270"/>
  <c r="F18" i="270"/>
  <c r="F19" i="270"/>
  <c r="F20" i="270"/>
  <c r="F21" i="270"/>
  <c r="F22" i="270"/>
  <c r="F23" i="270"/>
  <c r="F24" i="270"/>
  <c r="F25" i="270"/>
  <c r="F27" i="270"/>
  <c r="F28" i="270"/>
  <c r="F30" i="270"/>
  <c r="G29" i="270"/>
  <c r="H29" i="270"/>
  <c r="I29" i="270"/>
  <c r="J29" i="270" s="1"/>
  <c r="Q6" i="317"/>
  <c r="Q7" i="317"/>
  <c r="Q8" i="317"/>
  <c r="Q9" i="317"/>
  <c r="Q10" i="317"/>
  <c r="Q12" i="317"/>
  <c r="Q13" i="317"/>
  <c r="Q14" i="317"/>
  <c r="Q15" i="317"/>
  <c r="Q16" i="317"/>
  <c r="Q17" i="317"/>
  <c r="Q18" i="317"/>
  <c r="Q19" i="317"/>
  <c r="Q20" i="317"/>
  <c r="Q23" i="317"/>
  <c r="Q24" i="317"/>
  <c r="Q25" i="317"/>
  <c r="Q26" i="317"/>
  <c r="Q27" i="317"/>
  <c r="Q28" i="317"/>
  <c r="Q30" i="317"/>
  <c r="Q31" i="317"/>
  <c r="Q34" i="317"/>
  <c r="Q35" i="317"/>
  <c r="Q36" i="317"/>
  <c r="Q37" i="317"/>
  <c r="Q38" i="317"/>
  <c r="Q40" i="317"/>
  <c r="Q41" i="317"/>
  <c r="Q42" i="317"/>
  <c r="Q43" i="317"/>
  <c r="Q46" i="317"/>
  <c r="Q47" i="317"/>
  <c r="Q48" i="317"/>
  <c r="P47" i="317"/>
  <c r="P48" i="317"/>
  <c r="P46" i="317"/>
  <c r="P41" i="317"/>
  <c r="P42" i="317"/>
  <c r="P43" i="317"/>
  <c r="P38" i="317"/>
  <c r="P40" i="317"/>
  <c r="P35" i="317"/>
  <c r="P36" i="317"/>
  <c r="P34" i="317"/>
  <c r="P37" i="317"/>
  <c r="P31" i="317"/>
  <c r="P30" i="317"/>
  <c r="P24" i="317"/>
  <c r="P25" i="317"/>
  <c r="P26" i="317"/>
  <c r="P27" i="317"/>
  <c r="P28" i="317"/>
  <c r="P23" i="317"/>
  <c r="P13" i="317"/>
  <c r="P14" i="317"/>
  <c r="P15" i="317"/>
  <c r="P16" i="317"/>
  <c r="P17" i="317"/>
  <c r="P18" i="317"/>
  <c r="P6" i="317"/>
  <c r="P7" i="317"/>
  <c r="P8" i="317"/>
  <c r="P9" i="317"/>
  <c r="P10" i="317"/>
  <c r="P12" i="317"/>
  <c r="P19" i="317"/>
  <c r="P20" i="317"/>
  <c r="G48" i="178"/>
  <c r="D48" i="178"/>
  <c r="E48" i="178"/>
  <c r="E49" i="178"/>
  <c r="E50" i="178"/>
  <c r="F50" i="174" s="1"/>
  <c r="E40" i="178"/>
  <c r="F51" i="174"/>
  <c r="F11" i="174"/>
  <c r="E41" i="178"/>
  <c r="E43" i="178"/>
  <c r="E30" i="178"/>
  <c r="E7" i="178"/>
  <c r="E16" i="178"/>
  <c r="E31" i="178"/>
  <c r="E32" i="178"/>
  <c r="E33" i="178"/>
  <c r="E34" i="178"/>
  <c r="E35" i="178"/>
  <c r="E36" i="178"/>
  <c r="E37" i="178"/>
  <c r="E17" i="178"/>
  <c r="E18" i="178"/>
  <c r="E19" i="178"/>
  <c r="E21" i="178"/>
  <c r="E22" i="178"/>
  <c r="E23" i="178"/>
  <c r="E24" i="178"/>
  <c r="F63" i="174"/>
  <c r="F18" i="174" s="1"/>
  <c r="E25" i="178"/>
  <c r="E8" i="178"/>
  <c r="E9" i="178"/>
  <c r="E10" i="178"/>
  <c r="E11" i="178"/>
  <c r="E12" i="178"/>
  <c r="E13" i="178"/>
  <c r="C45" i="269"/>
  <c r="C47" i="270"/>
  <c r="I26" i="270"/>
  <c r="J26" i="270"/>
  <c r="D20" i="270"/>
  <c r="I14" i="270"/>
  <c r="J14" i="270"/>
  <c r="I15" i="270"/>
  <c r="J15" i="270" s="1"/>
  <c r="H11" i="177"/>
  <c r="H7" i="177"/>
  <c r="H8" i="177"/>
  <c r="H9" i="177"/>
  <c r="H18" i="177" s="1"/>
  <c r="H10" i="177"/>
  <c r="H12" i="177"/>
  <c r="H13" i="177"/>
  <c r="H15" i="177"/>
  <c r="H16" i="177"/>
  <c r="H17" i="177"/>
  <c r="G11" i="177"/>
  <c r="F7" i="178"/>
  <c r="G7" i="177"/>
  <c r="G8" i="177"/>
  <c r="G9" i="177"/>
  <c r="I9" i="177" s="1"/>
  <c r="J9" i="177" s="1"/>
  <c r="G10" i="177"/>
  <c r="G12" i="177"/>
  <c r="G13" i="177"/>
  <c r="G15" i="177"/>
  <c r="G16" i="177"/>
  <c r="G22" i="177"/>
  <c r="G24" i="177"/>
  <c r="H24" i="177"/>
  <c r="G25" i="177"/>
  <c r="I25" i="177" s="1"/>
  <c r="J25" i="177" s="1"/>
  <c r="H25" i="177"/>
  <c r="G27" i="177"/>
  <c r="H27" i="177"/>
  <c r="G32" i="177"/>
  <c r="I32" i="177" s="1"/>
  <c r="H32" i="177"/>
  <c r="G33" i="177"/>
  <c r="G34" i="177"/>
  <c r="H34" i="177"/>
  <c r="G36" i="177"/>
  <c r="G43" i="174"/>
  <c r="C7" i="178"/>
  <c r="D54" i="174"/>
  <c r="C7" i="177"/>
  <c r="C8" i="177"/>
  <c r="C9" i="177"/>
  <c r="C10" i="177"/>
  <c r="C11" i="177"/>
  <c r="C12" i="177"/>
  <c r="C36" i="177"/>
  <c r="C13" i="177"/>
  <c r="C15" i="177"/>
  <c r="C16" i="177"/>
  <c r="C22" i="177"/>
  <c r="C24" i="177"/>
  <c r="C25" i="177"/>
  <c r="C27" i="177"/>
  <c r="C28" i="177" s="1"/>
  <c r="B44" i="267"/>
  <c r="C33" i="177"/>
  <c r="C37" i="177" s="1"/>
  <c r="B45" i="267" s="1"/>
  <c r="C34" i="177"/>
  <c r="C73" i="268"/>
  <c r="B32" i="267"/>
  <c r="C50" i="269"/>
  <c r="C33" i="269"/>
  <c r="C48" i="178"/>
  <c r="C49" i="178"/>
  <c r="C50" i="178"/>
  <c r="D50" i="174" s="1"/>
  <c r="C40" i="178"/>
  <c r="C41" i="178"/>
  <c r="C43" i="178"/>
  <c r="C30" i="178"/>
  <c r="C31" i="178"/>
  <c r="C32" i="178"/>
  <c r="C33" i="178"/>
  <c r="C34" i="178"/>
  <c r="C35" i="178"/>
  <c r="C36" i="178"/>
  <c r="C37" i="178"/>
  <c r="C16" i="178"/>
  <c r="C17" i="178"/>
  <c r="C18" i="178"/>
  <c r="C19" i="178"/>
  <c r="C21" i="178"/>
  <c r="C22" i="178"/>
  <c r="C23" i="178"/>
  <c r="C24" i="178"/>
  <c r="D63" i="174"/>
  <c r="C25" i="178"/>
  <c r="D18" i="174"/>
  <c r="C8" i="178"/>
  <c r="D59" i="174" s="1"/>
  <c r="C9" i="178"/>
  <c r="C10" i="178"/>
  <c r="C11" i="178"/>
  <c r="C12" i="178"/>
  <c r="C13" i="178"/>
  <c r="C7" i="182"/>
  <c r="C8" i="182"/>
  <c r="C9" i="182"/>
  <c r="C10" i="182"/>
  <c r="C11" i="182"/>
  <c r="C12" i="182"/>
  <c r="C13" i="182"/>
  <c r="C14" i="182"/>
  <c r="C15" i="182"/>
  <c r="B8" i="267" s="1"/>
  <c r="C16" i="182"/>
  <c r="C17" i="182"/>
  <c r="C18" i="182"/>
  <c r="C19" i="182"/>
  <c r="C20" i="182"/>
  <c r="C22" i="182"/>
  <c r="C23" i="182"/>
  <c r="C24" i="182"/>
  <c r="C25" i="182"/>
  <c r="C26" i="182"/>
  <c r="C27" i="182"/>
  <c r="C28" i="182"/>
  <c r="C29" i="182"/>
  <c r="C30" i="182"/>
  <c r="C31" i="182"/>
  <c r="C32" i="182"/>
  <c r="C33" i="182"/>
  <c r="C50" i="182"/>
  <c r="C164" i="335"/>
  <c r="C163" i="335"/>
  <c r="C161" i="335"/>
  <c r="C160" i="335"/>
  <c r="C158" i="335"/>
  <c r="C157" i="335" s="1"/>
  <c r="C155" i="335"/>
  <c r="C154" i="335" s="1"/>
  <c r="C152" i="335"/>
  <c r="C151" i="335"/>
  <c r="C149" i="335"/>
  <c r="C148" i="335" s="1"/>
  <c r="C142" i="335"/>
  <c r="C143" i="335"/>
  <c r="C144" i="335"/>
  <c r="C145" i="335"/>
  <c r="C146" i="335"/>
  <c r="C141" i="335"/>
  <c r="C139" i="335"/>
  <c r="C136" i="335"/>
  <c r="C135" i="335"/>
  <c r="C132" i="335"/>
  <c r="C131" i="335"/>
  <c r="C133" i="335"/>
  <c r="C120" i="335"/>
  <c r="C121" i="335"/>
  <c r="C122" i="335"/>
  <c r="C123" i="335"/>
  <c r="C124" i="335"/>
  <c r="C125" i="335"/>
  <c r="C126" i="335"/>
  <c r="C127" i="335"/>
  <c r="C128" i="335"/>
  <c r="C129" i="335"/>
  <c r="C119" i="335"/>
  <c r="C116" i="335"/>
  <c r="C115" i="335"/>
  <c r="C114" i="335" s="1"/>
  <c r="C113" i="335"/>
  <c r="C112" i="335"/>
  <c r="C108" i="335"/>
  <c r="C107" i="335"/>
  <c r="C104" i="335"/>
  <c r="C105" i="335"/>
  <c r="C106" i="335"/>
  <c r="C101" i="335"/>
  <c r="C102" i="335"/>
  <c r="C100" i="335"/>
  <c r="C78" i="335"/>
  <c r="C79" i="335"/>
  <c r="C80" i="335"/>
  <c r="C81" i="335"/>
  <c r="C82" i="335"/>
  <c r="C83" i="335"/>
  <c r="C77" i="335"/>
  <c r="C84" i="335"/>
  <c r="C85" i="335"/>
  <c r="C86" i="335"/>
  <c r="C87" i="335"/>
  <c r="C88" i="335"/>
  <c r="C89" i="335"/>
  <c r="C90" i="335"/>
  <c r="C91" i="335"/>
  <c r="C92" i="335"/>
  <c r="C93" i="335"/>
  <c r="C94" i="335"/>
  <c r="C95" i="335"/>
  <c r="C96" i="335"/>
  <c r="C97" i="335"/>
  <c r="C98" i="335"/>
  <c r="C71" i="335"/>
  <c r="C69" i="335" s="1"/>
  <c r="C70" i="335"/>
  <c r="C72" i="335"/>
  <c r="C73" i="335"/>
  <c r="C65" i="335"/>
  <c r="C66" i="335"/>
  <c r="C64" i="335"/>
  <c r="C67" i="335"/>
  <c r="C68" i="335"/>
  <c r="C55" i="335"/>
  <c r="C56" i="335"/>
  <c r="C57" i="335"/>
  <c r="C54" i="335"/>
  <c r="C58" i="335"/>
  <c r="C59" i="335"/>
  <c r="C60" i="335"/>
  <c r="C61" i="335"/>
  <c r="C62" i="335"/>
  <c r="C47" i="335"/>
  <c r="C46" i="335"/>
  <c r="C48" i="335"/>
  <c r="C49" i="335"/>
  <c r="C50" i="335"/>
  <c r="C51" i="335"/>
  <c r="C52" i="335"/>
  <c r="C40" i="335"/>
  <c r="C39" i="335"/>
  <c r="C41" i="335"/>
  <c r="C42" i="335"/>
  <c r="C43" i="335"/>
  <c r="C44" i="335"/>
  <c r="C29" i="335"/>
  <c r="C30" i="335"/>
  <c r="C31" i="335"/>
  <c r="C32" i="335"/>
  <c r="C33" i="335"/>
  <c r="C28" i="335"/>
  <c r="C34" i="335"/>
  <c r="C35" i="335"/>
  <c r="C36" i="335"/>
  <c r="C37" i="335"/>
  <c r="C19" i="335"/>
  <c r="C18" i="335"/>
  <c r="C20" i="335"/>
  <c r="C21" i="335"/>
  <c r="C22" i="335"/>
  <c r="C23" i="335"/>
  <c r="C24" i="335"/>
  <c r="C25" i="335"/>
  <c r="C26" i="335"/>
  <c r="C15" i="335"/>
  <c r="C14" i="335"/>
  <c r="C16" i="335"/>
  <c r="C10" i="335"/>
  <c r="C11" i="335"/>
  <c r="C9" i="335"/>
  <c r="C12" i="335"/>
  <c r="C161" i="333"/>
  <c r="C160" i="333"/>
  <c r="C158" i="333"/>
  <c r="C157" i="333" s="1"/>
  <c r="C155" i="333"/>
  <c r="C154" i="333"/>
  <c r="C152" i="333"/>
  <c r="C151" i="333"/>
  <c r="C149" i="333"/>
  <c r="C148" i="333"/>
  <c r="C142" i="333"/>
  <c r="C141" i="333"/>
  <c r="C143" i="333"/>
  <c r="C144" i="333"/>
  <c r="C145" i="333"/>
  <c r="C146" i="333"/>
  <c r="C139" i="333"/>
  <c r="C136" i="333"/>
  <c r="C135" i="333" s="1"/>
  <c r="C132" i="333"/>
  <c r="C133" i="333"/>
  <c r="C131" i="333"/>
  <c r="C130" i="333" s="1"/>
  <c r="C120" i="333"/>
  <c r="C119" i="333"/>
  <c r="C121" i="333"/>
  <c r="C122" i="333"/>
  <c r="C123" i="333"/>
  <c r="C124" i="333"/>
  <c r="C125" i="333"/>
  <c r="C126" i="333"/>
  <c r="C127" i="333"/>
  <c r="C128" i="333"/>
  <c r="C129" i="333"/>
  <c r="C116" i="333"/>
  <c r="C115" i="333"/>
  <c r="C114" i="333"/>
  <c r="C113" i="333"/>
  <c r="C112" i="333"/>
  <c r="C108" i="333"/>
  <c r="C107" i="333"/>
  <c r="C106" i="333"/>
  <c r="C105" i="333"/>
  <c r="C104" i="333"/>
  <c r="C101" i="333"/>
  <c r="C99" i="333" s="1"/>
  <c r="C102" i="333"/>
  <c r="C100" i="333"/>
  <c r="C78" i="333"/>
  <c r="C79" i="333"/>
  <c r="C80" i="333"/>
  <c r="C81" i="333"/>
  <c r="C82" i="333"/>
  <c r="C83" i="333"/>
  <c r="C84" i="333"/>
  <c r="C77" i="333"/>
  <c r="C85" i="333"/>
  <c r="C86" i="333"/>
  <c r="C87" i="333"/>
  <c r="C88" i="333"/>
  <c r="C89" i="333"/>
  <c r="C90" i="333"/>
  <c r="C91" i="333"/>
  <c r="C92" i="333"/>
  <c r="C93" i="333"/>
  <c r="C94" i="333"/>
  <c r="C95" i="333"/>
  <c r="C96" i="333"/>
  <c r="C97" i="333"/>
  <c r="C98" i="333"/>
  <c r="C71" i="333"/>
  <c r="C72" i="333"/>
  <c r="C73" i="333"/>
  <c r="C70" i="333"/>
  <c r="C65" i="333"/>
  <c r="C64" i="333"/>
  <c r="C66" i="333"/>
  <c r="C67" i="333"/>
  <c r="C68" i="333"/>
  <c r="C55" i="333"/>
  <c r="C56" i="333"/>
  <c r="C57" i="333"/>
  <c r="C53" i="333" s="1"/>
  <c r="C58" i="333"/>
  <c r="C59" i="333"/>
  <c r="C54" i="333"/>
  <c r="C60" i="333"/>
  <c r="C61" i="333"/>
  <c r="C62" i="333"/>
  <c r="C47" i="333"/>
  <c r="C48" i="333"/>
  <c r="C49" i="333"/>
  <c r="C46" i="333"/>
  <c r="C50" i="333"/>
  <c r="C51" i="333"/>
  <c r="C52" i="333"/>
  <c r="C40" i="333"/>
  <c r="C39" i="333"/>
  <c r="C41" i="333"/>
  <c r="C42" i="333"/>
  <c r="C43" i="333"/>
  <c r="C44" i="333"/>
  <c r="C29" i="333"/>
  <c r="C30" i="333"/>
  <c r="C31" i="333"/>
  <c r="C32" i="333"/>
  <c r="C28" i="333"/>
  <c r="C33" i="333"/>
  <c r="C34" i="333"/>
  <c r="C35" i="333"/>
  <c r="C36" i="333"/>
  <c r="C37" i="333"/>
  <c r="C27" i="333"/>
  <c r="C19" i="333"/>
  <c r="C18" i="333"/>
  <c r="C20" i="333"/>
  <c r="C21" i="333"/>
  <c r="C22" i="333"/>
  <c r="C23" i="333"/>
  <c r="C24" i="333"/>
  <c r="C25" i="333"/>
  <c r="C26" i="333"/>
  <c r="C15" i="333"/>
  <c r="C14" i="333"/>
  <c r="C16" i="333"/>
  <c r="C10" i="333"/>
  <c r="C9" i="333"/>
  <c r="C11" i="333"/>
  <c r="C12" i="333"/>
  <c r="C164" i="325"/>
  <c r="C163" i="325"/>
  <c r="C161" i="325"/>
  <c r="C160" i="325" s="1"/>
  <c r="C158" i="325"/>
  <c r="C157" i="325"/>
  <c r="C155" i="325"/>
  <c r="C154" i="325"/>
  <c r="C152" i="325"/>
  <c r="C151" i="325"/>
  <c r="C149" i="325"/>
  <c r="C148" i="325" s="1"/>
  <c r="C142" i="325"/>
  <c r="C143" i="325"/>
  <c r="C144" i="325"/>
  <c r="C145" i="325"/>
  <c r="C141" i="325"/>
  <c r="C146" i="325"/>
  <c r="C140" i="325"/>
  <c r="C138" i="325" s="1"/>
  <c r="C139" i="325"/>
  <c r="C136" i="325"/>
  <c r="C135" i="325"/>
  <c r="C132" i="325"/>
  <c r="C131" i="325"/>
  <c r="C133" i="325"/>
  <c r="C130" i="325" s="1"/>
  <c r="C120" i="325"/>
  <c r="C119" i="325"/>
  <c r="C121" i="325"/>
  <c r="C122" i="325"/>
  <c r="C123" i="325"/>
  <c r="C124" i="325"/>
  <c r="C125" i="325"/>
  <c r="C126" i="325"/>
  <c r="C127" i="325"/>
  <c r="C128" i="325"/>
  <c r="C129" i="325"/>
  <c r="C116" i="325"/>
  <c r="C115" i="325"/>
  <c r="C113" i="325"/>
  <c r="C112" i="325"/>
  <c r="C108" i="325"/>
  <c r="C104" i="325"/>
  <c r="C105" i="325"/>
  <c r="C106" i="325"/>
  <c r="C107" i="325"/>
  <c r="C101" i="325"/>
  <c r="C102" i="325"/>
  <c r="C100" i="325"/>
  <c r="C99" i="325" s="1"/>
  <c r="C78" i="325"/>
  <c r="C79" i="325"/>
  <c r="C80" i="325"/>
  <c r="C81" i="325"/>
  <c r="C82" i="325"/>
  <c r="C83" i="325"/>
  <c r="C84" i="325"/>
  <c r="C85" i="325"/>
  <c r="C86" i="325"/>
  <c r="C87" i="325"/>
  <c r="C88" i="325"/>
  <c r="C89" i="325"/>
  <c r="C77" i="325"/>
  <c r="C90" i="325"/>
  <c r="C91" i="325"/>
  <c r="C92" i="325"/>
  <c r="C93" i="325"/>
  <c r="C94" i="325"/>
  <c r="C95" i="325"/>
  <c r="C96" i="325"/>
  <c r="C97" i="325"/>
  <c r="C98" i="325"/>
  <c r="C71" i="325"/>
  <c r="C70" i="325"/>
  <c r="C72" i="325"/>
  <c r="C73" i="325"/>
  <c r="C65" i="325"/>
  <c r="C66" i="325"/>
  <c r="C67" i="325"/>
  <c r="C68" i="325"/>
  <c r="C64" i="325"/>
  <c r="C55" i="325"/>
  <c r="C56" i="325"/>
  <c r="C57" i="325"/>
  <c r="C58" i="325"/>
  <c r="C59" i="325"/>
  <c r="C60" i="325"/>
  <c r="C54" i="325"/>
  <c r="C61" i="325"/>
  <c r="C53" i="325" s="1"/>
  <c r="C62" i="325"/>
  <c r="C47" i="325"/>
  <c r="C46" i="325"/>
  <c r="C48" i="325"/>
  <c r="C49" i="325"/>
  <c r="C50" i="325"/>
  <c r="C51" i="325"/>
  <c r="C45" i="325" s="1"/>
  <c r="C52" i="325"/>
  <c r="C40" i="325"/>
  <c r="C41" i="325"/>
  <c r="C42" i="325"/>
  <c r="C43" i="325"/>
  <c r="C39" i="325"/>
  <c r="C44" i="325"/>
  <c r="C29" i="325"/>
  <c r="C30" i="325"/>
  <c r="C31" i="325"/>
  <c r="C32" i="325"/>
  <c r="C33" i="325"/>
  <c r="C34" i="325"/>
  <c r="C28" i="325"/>
  <c r="C27" i="325" s="1"/>
  <c r="C35" i="325"/>
  <c r="C36" i="325"/>
  <c r="C37" i="325"/>
  <c r="C19" i="325"/>
  <c r="C18" i="325"/>
  <c r="C20" i="325"/>
  <c r="C21" i="325"/>
  <c r="C22" i="325"/>
  <c r="C23" i="325"/>
  <c r="C24" i="325"/>
  <c r="C25" i="325"/>
  <c r="C26" i="325"/>
  <c r="C15" i="325"/>
  <c r="C16" i="325"/>
  <c r="C14" i="325"/>
  <c r="C13" i="325"/>
  <c r="C10" i="325"/>
  <c r="C9" i="325"/>
  <c r="C11" i="325"/>
  <c r="C12" i="325"/>
  <c r="C164" i="326"/>
  <c r="C163" i="326" s="1"/>
  <c r="C161" i="326"/>
  <c r="C160" i="326"/>
  <c r="C158" i="326"/>
  <c r="C157" i="326" s="1"/>
  <c r="C155" i="326"/>
  <c r="C154" i="326"/>
  <c r="C152" i="326"/>
  <c r="C151" i="326" s="1"/>
  <c r="C149" i="326"/>
  <c r="C148" i="326" s="1"/>
  <c r="C142" i="326"/>
  <c r="C143" i="326"/>
  <c r="C141" i="326"/>
  <c r="C144" i="326"/>
  <c r="C145" i="326"/>
  <c r="C146" i="326"/>
  <c r="C140" i="326"/>
  <c r="C138" i="326" s="1"/>
  <c r="C139" i="326"/>
  <c r="C136" i="326"/>
  <c r="C135" i="326" s="1"/>
  <c r="C132" i="326"/>
  <c r="C131" i="326"/>
  <c r="C133" i="326"/>
  <c r="C120" i="326"/>
  <c r="C119" i="326"/>
  <c r="C121" i="326"/>
  <c r="C122" i="326"/>
  <c r="C123" i="326"/>
  <c r="C124" i="326"/>
  <c r="C125" i="326"/>
  <c r="C126" i="326"/>
  <c r="C127" i="326"/>
  <c r="C128" i="326"/>
  <c r="C129" i="326"/>
  <c r="C116" i="326"/>
  <c r="C115" i="326"/>
  <c r="C114" i="326" s="1"/>
  <c r="C113" i="326"/>
  <c r="C112" i="326"/>
  <c r="C111" i="326"/>
  <c r="C108" i="326"/>
  <c r="C107" i="326"/>
  <c r="C104" i="326"/>
  <c r="C105" i="326"/>
  <c r="C106" i="326"/>
  <c r="C101" i="326"/>
  <c r="C100" i="326"/>
  <c r="C102" i="326"/>
  <c r="C99" i="326"/>
  <c r="C94" i="326"/>
  <c r="C95" i="326"/>
  <c r="C96" i="326"/>
  <c r="C97" i="326"/>
  <c r="C98" i="326"/>
  <c r="C78" i="326"/>
  <c r="C77" i="326"/>
  <c r="C79" i="326"/>
  <c r="C80" i="326"/>
  <c r="C81" i="326"/>
  <c r="C82" i="326"/>
  <c r="C83" i="326"/>
  <c r="C84" i="326"/>
  <c r="C85" i="326"/>
  <c r="C86" i="326"/>
  <c r="C87" i="326"/>
  <c r="C88" i="326"/>
  <c r="C89" i="326"/>
  <c r="C90" i="326"/>
  <c r="C91" i="326"/>
  <c r="C92" i="326"/>
  <c r="C93" i="326"/>
  <c r="C71" i="326"/>
  <c r="C70" i="326"/>
  <c r="C69" i="326" s="1"/>
  <c r="C72" i="326"/>
  <c r="C73" i="326"/>
  <c r="C65" i="326"/>
  <c r="C66" i="326"/>
  <c r="C67" i="326"/>
  <c r="C68" i="326"/>
  <c r="C64" i="326"/>
  <c r="C63" i="326" s="1"/>
  <c r="C55" i="326"/>
  <c r="C56" i="326"/>
  <c r="C57" i="326"/>
  <c r="C58" i="326"/>
  <c r="C59" i="326"/>
  <c r="C54" i="326"/>
  <c r="C60" i="326"/>
  <c r="C61" i="326"/>
  <c r="C62" i="326"/>
  <c r="C47" i="326"/>
  <c r="C45" i="326" s="1"/>
  <c r="C48" i="326"/>
  <c r="C46" i="326"/>
  <c r="C49" i="326"/>
  <c r="C50" i="326"/>
  <c r="C51" i="326"/>
  <c r="C52" i="326"/>
  <c r="C40" i="326"/>
  <c r="C41" i="326"/>
  <c r="C39" i="326"/>
  <c r="C42" i="326"/>
  <c r="C43" i="326"/>
  <c r="C44" i="326"/>
  <c r="C29" i="326"/>
  <c r="C28" i="326"/>
  <c r="C30" i="326"/>
  <c r="C31" i="326"/>
  <c r="C32" i="326"/>
  <c r="C33" i="326"/>
  <c r="C34" i="326"/>
  <c r="C35" i="326"/>
  <c r="C36" i="326"/>
  <c r="C37" i="326"/>
  <c r="C19" i="326"/>
  <c r="C20" i="326"/>
  <c r="C21" i="326"/>
  <c r="C22" i="326"/>
  <c r="C18" i="326"/>
  <c r="C23" i="326"/>
  <c r="C24" i="326"/>
  <c r="C25" i="326"/>
  <c r="C26" i="326"/>
  <c r="C15" i="326"/>
  <c r="C14" i="326"/>
  <c r="C16" i="326"/>
  <c r="C10" i="326"/>
  <c r="C11" i="326"/>
  <c r="C12" i="326"/>
  <c r="C9" i="326"/>
  <c r="C163" i="242"/>
  <c r="C162" i="242"/>
  <c r="C160" i="242"/>
  <c r="C159" i="242" s="1"/>
  <c r="C157" i="242"/>
  <c r="C156" i="242" s="1"/>
  <c r="C154" i="242"/>
  <c r="C153" i="242" s="1"/>
  <c r="C151" i="242"/>
  <c r="C150" i="242"/>
  <c r="C148" i="242"/>
  <c r="C147" i="242" s="1"/>
  <c r="C141" i="242"/>
  <c r="C142" i="242"/>
  <c r="C143" i="242"/>
  <c r="C144" i="242"/>
  <c r="C145" i="242"/>
  <c r="C140" i="242"/>
  <c r="C138" i="242"/>
  <c r="C135" i="242"/>
  <c r="C134" i="242" s="1"/>
  <c r="C132" i="242"/>
  <c r="C133" i="242"/>
  <c r="C131" i="242"/>
  <c r="C120" i="242"/>
  <c r="C119" i="242"/>
  <c r="C121" i="242"/>
  <c r="C122" i="242"/>
  <c r="C123" i="242"/>
  <c r="C124" i="242"/>
  <c r="C125" i="242"/>
  <c r="C126" i="242"/>
  <c r="C127" i="242"/>
  <c r="C128" i="242"/>
  <c r="C129" i="242"/>
  <c r="C116" i="242"/>
  <c r="C115" i="242"/>
  <c r="C114" i="242" s="1"/>
  <c r="C113" i="242"/>
  <c r="C112" i="242"/>
  <c r="C111" i="242" s="1"/>
  <c r="C108" i="242"/>
  <c r="C107" i="242"/>
  <c r="C104" i="242"/>
  <c r="C105" i="242"/>
  <c r="C106" i="242"/>
  <c r="C101" i="242"/>
  <c r="C102" i="242"/>
  <c r="C100" i="242"/>
  <c r="C78" i="242"/>
  <c r="C79" i="242"/>
  <c r="C80" i="242"/>
  <c r="C81" i="242"/>
  <c r="C82" i="242"/>
  <c r="C77" i="242"/>
  <c r="C83" i="242"/>
  <c r="C84" i="242"/>
  <c r="C85" i="242"/>
  <c r="C86" i="242"/>
  <c r="C87" i="242"/>
  <c r="C88" i="242"/>
  <c r="C89" i="242"/>
  <c r="C90" i="242"/>
  <c r="C91" i="242"/>
  <c r="C92" i="242"/>
  <c r="C93" i="242"/>
  <c r="C94" i="242"/>
  <c r="C95" i="242"/>
  <c r="C96" i="242"/>
  <c r="C97" i="242"/>
  <c r="C98" i="242"/>
  <c r="C71" i="242"/>
  <c r="C72" i="242"/>
  <c r="C73" i="242"/>
  <c r="C70" i="242"/>
  <c r="C69" i="242" s="1"/>
  <c r="C65" i="242"/>
  <c r="C66" i="242"/>
  <c r="C67" i="242"/>
  <c r="C68" i="242"/>
  <c r="C64" i="242"/>
  <c r="C55" i="242"/>
  <c r="C56" i="242"/>
  <c r="C57" i="242"/>
  <c r="C58" i="242"/>
  <c r="C59" i="242"/>
  <c r="C60" i="242"/>
  <c r="C61" i="242"/>
  <c r="C62" i="242"/>
  <c r="C54" i="242"/>
  <c r="C47" i="242"/>
  <c r="C46" i="242"/>
  <c r="C48" i="242"/>
  <c r="C45" i="242" s="1"/>
  <c r="C49" i="242"/>
  <c r="C50" i="242"/>
  <c r="C51" i="242"/>
  <c r="C52" i="242"/>
  <c r="C40" i="242"/>
  <c r="C41" i="242"/>
  <c r="C42" i="242"/>
  <c r="C43" i="242"/>
  <c r="C44" i="242"/>
  <c r="C39" i="242"/>
  <c r="C29" i="242"/>
  <c r="C30" i="242"/>
  <c r="C31" i="242"/>
  <c r="C32" i="242"/>
  <c r="C33" i="242"/>
  <c r="C34" i="242"/>
  <c r="C35" i="242"/>
  <c r="C36" i="242"/>
  <c r="C37" i="242"/>
  <c r="C28" i="242"/>
  <c r="C19" i="242"/>
  <c r="C18" i="242"/>
  <c r="C20" i="242"/>
  <c r="C21" i="242"/>
  <c r="C22" i="242"/>
  <c r="C23" i="242"/>
  <c r="C24" i="242"/>
  <c r="C25" i="242"/>
  <c r="C26" i="242"/>
  <c r="C15" i="242"/>
  <c r="C16" i="242"/>
  <c r="C14" i="242"/>
  <c r="C10" i="242"/>
  <c r="C9" i="242"/>
  <c r="C8" i="242" s="1"/>
  <c r="C11" i="242"/>
  <c r="C12" i="242"/>
  <c r="B7" i="180"/>
  <c r="B8" i="180"/>
  <c r="B9" i="180"/>
  <c r="B6" i="172" s="1"/>
  <c r="B10" i="180"/>
  <c r="B7" i="172"/>
  <c r="B11" i="180"/>
  <c r="B8" i="172" s="1"/>
  <c r="B12" i="180"/>
  <c r="B9" i="172"/>
  <c r="B13" i="180"/>
  <c r="B14" i="180"/>
  <c r="B11" i="172"/>
  <c r="B15" i="180"/>
  <c r="B16" i="180"/>
  <c r="B13" i="172" s="1"/>
  <c r="B17" i="180"/>
  <c r="B14" i="172"/>
  <c r="B6" i="180"/>
  <c r="B3" i="172" s="1"/>
  <c r="C52" i="318"/>
  <c r="C38" i="318"/>
  <c r="C39" i="318"/>
  <c r="C40" i="318"/>
  <c r="C41" i="318"/>
  <c r="C43" i="318"/>
  <c r="C44" i="318"/>
  <c r="C45" i="318"/>
  <c r="C46" i="318"/>
  <c r="C47" i="318"/>
  <c r="C48" i="318"/>
  <c r="C49" i="318"/>
  <c r="C32" i="318"/>
  <c r="C30" i="318"/>
  <c r="C19" i="318"/>
  <c r="C20" i="318"/>
  <c r="C21" i="318"/>
  <c r="C22" i="318"/>
  <c r="C23" i="318"/>
  <c r="C24" i="318"/>
  <c r="C25" i="318"/>
  <c r="C26" i="318"/>
  <c r="C27" i="318"/>
  <c r="C28" i="318"/>
  <c r="C29" i="318"/>
  <c r="C18" i="318"/>
  <c r="C8" i="318"/>
  <c r="C9" i="318"/>
  <c r="C10" i="318"/>
  <c r="C7" i="318"/>
  <c r="C11" i="318"/>
  <c r="C12" i="318"/>
  <c r="C13" i="318"/>
  <c r="C69" i="268"/>
  <c r="C66" i="268"/>
  <c r="C67" i="268"/>
  <c r="C72" i="268"/>
  <c r="C59" i="268"/>
  <c r="C58" i="268"/>
  <c r="C60" i="268"/>
  <c r="C61" i="268"/>
  <c r="C62" i="268"/>
  <c r="C55" i="268"/>
  <c r="C56" i="268"/>
  <c r="C54" i="268"/>
  <c r="C49" i="268"/>
  <c r="C50" i="268"/>
  <c r="C51" i="268"/>
  <c r="C52" i="268"/>
  <c r="C48" i="268"/>
  <c r="C45" i="268"/>
  <c r="C46" i="268"/>
  <c r="C44" i="268"/>
  <c r="C218" i="324"/>
  <c r="C217" i="324"/>
  <c r="C215" i="324"/>
  <c r="C214" i="324"/>
  <c r="C37" i="268"/>
  <c r="C202" i="324"/>
  <c r="C203" i="324"/>
  <c r="C204" i="324"/>
  <c r="C205" i="324"/>
  <c r="C206" i="324"/>
  <c r="C207" i="324"/>
  <c r="C208" i="324"/>
  <c r="C209" i="324"/>
  <c r="C210" i="324"/>
  <c r="C211" i="324"/>
  <c r="C212" i="324"/>
  <c r="C213" i="324"/>
  <c r="C201" i="324"/>
  <c r="C199" i="324"/>
  <c r="C198" i="324"/>
  <c r="C185" i="324"/>
  <c r="C186" i="324"/>
  <c r="C187" i="324"/>
  <c r="C188" i="324"/>
  <c r="C189" i="324"/>
  <c r="C190" i="324"/>
  <c r="C191" i="324"/>
  <c r="C192" i="324"/>
  <c r="C193" i="324"/>
  <c r="C194" i="324"/>
  <c r="C195" i="324"/>
  <c r="C196" i="324"/>
  <c r="C184" i="324"/>
  <c r="C182" i="324"/>
  <c r="C181" i="324"/>
  <c r="C174" i="324"/>
  <c r="C175" i="324"/>
  <c r="C176" i="324"/>
  <c r="C177" i="324"/>
  <c r="C178" i="324"/>
  <c r="C179" i="324"/>
  <c r="C173" i="324"/>
  <c r="C168" i="324"/>
  <c r="C167" i="324"/>
  <c r="C169" i="324"/>
  <c r="C170" i="324"/>
  <c r="C171" i="324"/>
  <c r="C163" i="324"/>
  <c r="C164" i="324"/>
  <c r="C165" i="324"/>
  <c r="C162" i="324"/>
  <c r="C160" i="324"/>
  <c r="C159" i="324"/>
  <c r="C29" i="268" s="1"/>
  <c r="C157" i="324"/>
  <c r="C156" i="324"/>
  <c r="C158" i="324"/>
  <c r="C143" i="324"/>
  <c r="C144" i="324"/>
  <c r="C145" i="324"/>
  <c r="C146" i="324"/>
  <c r="C147" i="324"/>
  <c r="C148" i="324"/>
  <c r="C149" i="324"/>
  <c r="C141" i="324" s="1"/>
  <c r="C150" i="324"/>
  <c r="C151" i="324"/>
  <c r="C152" i="324"/>
  <c r="C153" i="324"/>
  <c r="C154" i="324"/>
  <c r="C142" i="324"/>
  <c r="C138" i="324"/>
  <c r="C136" i="324" s="1"/>
  <c r="C26" i="268" s="1"/>
  <c r="C137" i="324"/>
  <c r="C139" i="324"/>
  <c r="C140" i="324"/>
  <c r="C130" i="324"/>
  <c r="C131" i="324"/>
  <c r="C132" i="324"/>
  <c r="C133" i="324"/>
  <c r="C134" i="324"/>
  <c r="C135" i="324"/>
  <c r="C129" i="324"/>
  <c r="C117" i="324"/>
  <c r="C118" i="324"/>
  <c r="C119" i="324"/>
  <c r="C116" i="324"/>
  <c r="C120" i="324"/>
  <c r="C121" i="324"/>
  <c r="C122" i="324"/>
  <c r="C123" i="324"/>
  <c r="C124" i="324"/>
  <c r="C125" i="324"/>
  <c r="C115" i="324"/>
  <c r="C126" i="324"/>
  <c r="C127" i="324"/>
  <c r="C110" i="324"/>
  <c r="C109" i="324"/>
  <c r="C108" i="324" s="1"/>
  <c r="C20" i="268" s="1"/>
  <c r="C107" i="324"/>
  <c r="C106" i="324"/>
  <c r="C19" i="268"/>
  <c r="C94" i="324"/>
  <c r="C95" i="324"/>
  <c r="C96" i="324"/>
  <c r="C97" i="324"/>
  <c r="C98" i="324"/>
  <c r="C99" i="324"/>
  <c r="C100" i="324"/>
  <c r="C101" i="324"/>
  <c r="C102" i="324"/>
  <c r="C103" i="324"/>
  <c r="C104" i="324"/>
  <c r="C105" i="324"/>
  <c r="C93" i="324"/>
  <c r="C91" i="324"/>
  <c r="C90" i="324"/>
  <c r="C77" i="324"/>
  <c r="C78" i="324"/>
  <c r="C79" i="324"/>
  <c r="C80" i="324"/>
  <c r="C81" i="324"/>
  <c r="C76" i="324"/>
  <c r="C82" i="324"/>
  <c r="C83" i="324"/>
  <c r="C84" i="324"/>
  <c r="C85" i="324"/>
  <c r="C86" i="324"/>
  <c r="C87" i="324"/>
  <c r="C88" i="324"/>
  <c r="C74" i="324"/>
  <c r="C73" i="324"/>
  <c r="C66" i="324"/>
  <c r="C67" i="324"/>
  <c r="C64" i="324" s="1"/>
  <c r="C14" i="268" s="1"/>
  <c r="C65" i="324"/>
  <c r="C68" i="324"/>
  <c r="C69" i="324"/>
  <c r="C70" i="324"/>
  <c r="C71" i="324"/>
  <c r="C60" i="324"/>
  <c r="C61" i="324"/>
  <c r="C62" i="324"/>
  <c r="C59" i="324"/>
  <c r="C63" i="324"/>
  <c r="C55" i="324"/>
  <c r="C54" i="324"/>
  <c r="C56" i="324"/>
  <c r="C57" i="324"/>
  <c r="C53" i="324"/>
  <c r="C12" i="268" s="1"/>
  <c r="C52" i="324"/>
  <c r="C49" i="324"/>
  <c r="C50" i="324"/>
  <c r="C48" i="324"/>
  <c r="C35" i="324"/>
  <c r="C36" i="324"/>
  <c r="C37" i="324"/>
  <c r="C38" i="324"/>
  <c r="C39" i="324"/>
  <c r="C40" i="324"/>
  <c r="C41" i="324"/>
  <c r="C42" i="324"/>
  <c r="C43" i="324"/>
  <c r="C44" i="324"/>
  <c r="C45" i="324"/>
  <c r="C46" i="324"/>
  <c r="C34" i="324"/>
  <c r="C30" i="324"/>
  <c r="C31" i="324"/>
  <c r="C32" i="324"/>
  <c r="C29" i="324"/>
  <c r="C22" i="324"/>
  <c r="C21" i="324"/>
  <c r="C23" i="324"/>
  <c r="C24" i="324"/>
  <c r="C25" i="324"/>
  <c r="C26" i="324"/>
  <c r="C27" i="324"/>
  <c r="C9" i="324"/>
  <c r="C10" i="324"/>
  <c r="C11" i="324"/>
  <c r="C12" i="324"/>
  <c r="C13" i="324"/>
  <c r="C14" i="324"/>
  <c r="C8" i="324"/>
  <c r="C15" i="324"/>
  <c r="C16" i="324"/>
  <c r="C17" i="324"/>
  <c r="C18" i="324"/>
  <c r="C19" i="324"/>
  <c r="C36" i="182"/>
  <c r="C37" i="182"/>
  <c r="C38" i="182"/>
  <c r="C39" i="182"/>
  <c r="C35" i="182"/>
  <c r="C40" i="182"/>
  <c r="B14" i="267" s="1"/>
  <c r="C41" i="182"/>
  <c r="C42" i="182"/>
  <c r="C43" i="182"/>
  <c r="B17" i="267" s="1"/>
  <c r="C44" i="182"/>
  <c r="C45" i="182"/>
  <c r="C46" i="182"/>
  <c r="C47" i="182"/>
  <c r="B9" i="267"/>
  <c r="C218" i="323"/>
  <c r="C217" i="323"/>
  <c r="C216" i="323"/>
  <c r="C38" i="272" s="1"/>
  <c r="C215" i="323"/>
  <c r="C214" i="323"/>
  <c r="C37" i="272"/>
  <c r="C202" i="323"/>
  <c r="C203" i="323"/>
  <c r="C204" i="323"/>
  <c r="C205" i="323"/>
  <c r="C206" i="323"/>
  <c r="C207" i="323"/>
  <c r="C208" i="323"/>
  <c r="C209" i="323"/>
  <c r="C210" i="323"/>
  <c r="C211" i="323"/>
  <c r="C212" i="323"/>
  <c r="C213" i="323"/>
  <c r="C201" i="323"/>
  <c r="C199" i="323"/>
  <c r="C198" i="323"/>
  <c r="C197" i="323"/>
  <c r="C35" i="272" s="1"/>
  <c r="C185" i="323"/>
  <c r="C186" i="323"/>
  <c r="C184" i="323"/>
  <c r="C187" i="323"/>
  <c r="C188" i="323"/>
  <c r="C189" i="323"/>
  <c r="C190" i="323"/>
  <c r="C191" i="323"/>
  <c r="C192" i="323"/>
  <c r="C193" i="323"/>
  <c r="C194" i="323"/>
  <c r="C195" i="323"/>
  <c r="C196" i="323"/>
  <c r="C182" i="323"/>
  <c r="C181" i="323"/>
  <c r="C180" i="323"/>
  <c r="C33" i="272" s="1"/>
  <c r="C174" i="323"/>
  <c r="C175" i="323"/>
  <c r="C173" i="323"/>
  <c r="C176" i="323"/>
  <c r="C177" i="323"/>
  <c r="C178" i="323"/>
  <c r="C179" i="323"/>
  <c r="C168" i="323"/>
  <c r="C169" i="323"/>
  <c r="C170" i="323"/>
  <c r="C171" i="323"/>
  <c r="C167" i="323"/>
  <c r="C163" i="323"/>
  <c r="C164" i="323"/>
  <c r="C165" i="323"/>
  <c r="C162" i="323"/>
  <c r="C160" i="323"/>
  <c r="C159" i="323"/>
  <c r="C29" i="272" s="1"/>
  <c r="C157" i="323"/>
  <c r="C156" i="323"/>
  <c r="C158" i="323"/>
  <c r="C155" i="323"/>
  <c r="C28" i="272" s="1"/>
  <c r="C143" i="323"/>
  <c r="C144" i="323"/>
  <c r="C145" i="323"/>
  <c r="C146" i="323"/>
  <c r="C142" i="323"/>
  <c r="C147" i="323"/>
  <c r="C148" i="323"/>
  <c r="C149" i="323"/>
  <c r="C150" i="323"/>
  <c r="C151" i="323"/>
  <c r="C152" i="323"/>
  <c r="C153" i="323"/>
  <c r="C154" i="323"/>
  <c r="C138" i="323"/>
  <c r="C139" i="323"/>
  <c r="C140" i="323"/>
  <c r="C137" i="323"/>
  <c r="C130" i="323"/>
  <c r="C131" i="323"/>
  <c r="C132" i="323"/>
  <c r="C133" i="323"/>
  <c r="C134" i="323"/>
  <c r="C135" i="323"/>
  <c r="C129" i="323"/>
  <c r="C116" i="323"/>
  <c r="C117" i="323"/>
  <c r="C118" i="323"/>
  <c r="C119" i="323"/>
  <c r="C120" i="323"/>
  <c r="C121" i="323"/>
  <c r="C122" i="323"/>
  <c r="C115" i="323"/>
  <c r="C123" i="323"/>
  <c r="C124" i="323"/>
  <c r="C125" i="323"/>
  <c r="C126" i="323"/>
  <c r="C127" i="323"/>
  <c r="C110" i="323"/>
  <c r="C109" i="323"/>
  <c r="C108" i="323"/>
  <c r="C20" i="272" s="1"/>
  <c r="C107" i="323"/>
  <c r="C106" i="323" s="1"/>
  <c r="C19" i="272" s="1"/>
  <c r="C94" i="323"/>
  <c r="C95" i="323"/>
  <c r="C93" i="323"/>
  <c r="C96" i="323"/>
  <c r="C97" i="323"/>
  <c r="C98" i="323"/>
  <c r="C99" i="323"/>
  <c r="C100" i="323"/>
  <c r="C101" i="323"/>
  <c r="C102" i="323"/>
  <c r="C103" i="323"/>
  <c r="C104" i="323"/>
  <c r="C105" i="323"/>
  <c r="C91" i="323"/>
  <c r="C90" i="323"/>
  <c r="C89" i="323" s="1"/>
  <c r="C17" i="272" s="1"/>
  <c r="C77" i="323"/>
  <c r="C78" i="323"/>
  <c r="C79" i="323"/>
  <c r="C80" i="323"/>
  <c r="C81" i="323"/>
  <c r="C82" i="323"/>
  <c r="C83" i="323"/>
  <c r="C84" i="323"/>
  <c r="C85" i="323"/>
  <c r="C86" i="323"/>
  <c r="C87" i="323"/>
  <c r="C76" i="323"/>
  <c r="C88" i="323"/>
  <c r="C74" i="323"/>
  <c r="C73" i="323"/>
  <c r="C66" i="323"/>
  <c r="C67" i="323"/>
  <c r="C68" i="323"/>
  <c r="C69" i="323"/>
  <c r="C70" i="323"/>
  <c r="C71" i="323"/>
  <c r="C65" i="323"/>
  <c r="C60" i="323"/>
  <c r="C59" i="323"/>
  <c r="C61" i="323"/>
  <c r="C62" i="323"/>
  <c r="C63" i="323"/>
  <c r="C55" i="323"/>
  <c r="C56" i="323"/>
  <c r="C57" i="323"/>
  <c r="C54" i="323"/>
  <c r="C52" i="323"/>
  <c r="C51" i="323"/>
  <c r="C11" i="272" s="1"/>
  <c r="C49" i="323"/>
  <c r="C47" i="323" s="1"/>
  <c r="C10" i="272" s="1"/>
  <c r="C48" i="323"/>
  <c r="C50" i="323"/>
  <c r="C35" i="323"/>
  <c r="C36" i="323"/>
  <c r="C37" i="323"/>
  <c r="C38" i="323"/>
  <c r="C33" i="323" s="1"/>
  <c r="C9" i="272" s="1"/>
  <c r="C39" i="323"/>
  <c r="C40" i="323"/>
  <c r="C41" i="323"/>
  <c r="C42" i="323"/>
  <c r="C43" i="323"/>
  <c r="C34" i="323"/>
  <c r="C44" i="323"/>
  <c r="C45" i="323"/>
  <c r="C46" i="323"/>
  <c r="C30" i="323"/>
  <c r="C29" i="323"/>
  <c r="C31" i="323"/>
  <c r="C32" i="323"/>
  <c r="C28" i="323"/>
  <c r="C8" i="272"/>
  <c r="C22" i="323"/>
  <c r="C23" i="323"/>
  <c r="C24" i="323"/>
  <c r="C25" i="323"/>
  <c r="C26" i="323"/>
  <c r="C21" i="323"/>
  <c r="C27" i="323"/>
  <c r="C20" i="323"/>
  <c r="C7" i="272" s="1"/>
  <c r="C8" i="323"/>
  <c r="C9" i="323"/>
  <c r="C10" i="323"/>
  <c r="C11" i="323"/>
  <c r="C12" i="323"/>
  <c r="C13" i="323"/>
  <c r="C14" i="323"/>
  <c r="C15" i="323"/>
  <c r="C16" i="323"/>
  <c r="C17" i="323"/>
  <c r="C18" i="323"/>
  <c r="C19" i="323"/>
  <c r="C7" i="323"/>
  <c r="C120" i="330"/>
  <c r="C119" i="330"/>
  <c r="C118" i="330" s="1"/>
  <c r="C25" i="241" s="1"/>
  <c r="C121" i="330"/>
  <c r="C122" i="330"/>
  <c r="C123" i="330"/>
  <c r="C124" i="330"/>
  <c r="C115" i="330"/>
  <c r="C114" i="330"/>
  <c r="C116" i="330"/>
  <c r="C117" i="330"/>
  <c r="C110" i="330"/>
  <c r="C109" i="330"/>
  <c r="C108" i="330" s="1"/>
  <c r="C111" i="330"/>
  <c r="C112" i="330"/>
  <c r="C23" i="241"/>
  <c r="C101" i="330"/>
  <c r="C100" i="330" s="1"/>
  <c r="C102" i="330"/>
  <c r="C103" i="330"/>
  <c r="C105" i="330"/>
  <c r="C106" i="330"/>
  <c r="C107" i="330"/>
  <c r="C104" i="330"/>
  <c r="C22" i="241"/>
  <c r="C94" i="330"/>
  <c r="C92" i="330" s="1"/>
  <c r="C19" i="241" s="1"/>
  <c r="C93" i="330"/>
  <c r="C95" i="330"/>
  <c r="C96" i="330"/>
  <c r="C97" i="330"/>
  <c r="C98" i="330"/>
  <c r="C89" i="330"/>
  <c r="C90" i="330"/>
  <c r="C91" i="330"/>
  <c r="C88" i="330"/>
  <c r="C78" i="330"/>
  <c r="C77" i="330"/>
  <c r="C79" i="330"/>
  <c r="C80" i="330"/>
  <c r="C81" i="330"/>
  <c r="C82" i="330"/>
  <c r="C76" i="330" s="1"/>
  <c r="C17" i="241" s="1"/>
  <c r="C83" i="330"/>
  <c r="C84" i="330"/>
  <c r="C85" i="330"/>
  <c r="C86" i="330"/>
  <c r="C69" i="330"/>
  <c r="C70" i="330"/>
  <c r="C71" i="330"/>
  <c r="C68" i="330"/>
  <c r="C72" i="330"/>
  <c r="C73" i="330"/>
  <c r="C74" i="330"/>
  <c r="C66" i="330"/>
  <c r="C65" i="330"/>
  <c r="C64" i="330"/>
  <c r="C57" i="330"/>
  <c r="C58" i="330"/>
  <c r="C59" i="330"/>
  <c r="C60" i="330"/>
  <c r="C56" i="330"/>
  <c r="C61" i="330"/>
  <c r="C62" i="330"/>
  <c r="C63" i="330"/>
  <c r="C51" i="330"/>
  <c r="C50" i="330"/>
  <c r="C52" i="330"/>
  <c r="C53" i="330"/>
  <c r="C54" i="330"/>
  <c r="C45" i="330"/>
  <c r="C46" i="330"/>
  <c r="C47" i="330"/>
  <c r="C48" i="330"/>
  <c r="C29" i="330"/>
  <c r="C30" i="330"/>
  <c r="C31" i="330"/>
  <c r="C28" i="330"/>
  <c r="C32" i="330"/>
  <c r="C33" i="330"/>
  <c r="C34" i="330"/>
  <c r="C35" i="330"/>
  <c r="C36" i="330"/>
  <c r="C37" i="330"/>
  <c r="C38" i="330"/>
  <c r="C39" i="330"/>
  <c r="C40" i="330"/>
  <c r="C41" i="330"/>
  <c r="C42" i="330"/>
  <c r="C43" i="330"/>
  <c r="C44" i="330"/>
  <c r="C25" i="330"/>
  <c r="C24" i="330"/>
  <c r="C9" i="241" s="1"/>
  <c r="C12" i="330"/>
  <c r="C13" i="330"/>
  <c r="C14" i="330"/>
  <c r="C15" i="330"/>
  <c r="C16" i="330"/>
  <c r="C17" i="330"/>
  <c r="C11" i="330"/>
  <c r="C18" i="330"/>
  <c r="C19" i="330"/>
  <c r="C20" i="330"/>
  <c r="C21" i="330"/>
  <c r="C22" i="330"/>
  <c r="C23" i="330"/>
  <c r="C9" i="330"/>
  <c r="C8" i="330"/>
  <c r="C242" i="330"/>
  <c r="C243" i="330"/>
  <c r="C241" i="330"/>
  <c r="C244" i="330"/>
  <c r="C245" i="330"/>
  <c r="C246" i="330"/>
  <c r="C237" i="330"/>
  <c r="C238" i="330"/>
  <c r="C239" i="330"/>
  <c r="C236" i="330"/>
  <c r="C232" i="330"/>
  <c r="C233" i="330"/>
  <c r="C234" i="330"/>
  <c r="C231" i="330"/>
  <c r="C230" i="330"/>
  <c r="C228" i="330"/>
  <c r="C229" i="330"/>
  <c r="C226" i="330" s="1"/>
  <c r="C227" i="330"/>
  <c r="C224" i="330"/>
  <c r="C225" i="330"/>
  <c r="C223" i="330"/>
  <c r="C216" i="330"/>
  <c r="C217" i="330"/>
  <c r="C218" i="330"/>
  <c r="C215" i="330"/>
  <c r="C219" i="330"/>
  <c r="C220" i="330"/>
  <c r="C211" i="330"/>
  <c r="C212" i="330"/>
  <c r="C213" i="330"/>
  <c r="C210" i="330"/>
  <c r="C200" i="330"/>
  <c r="C201" i="330"/>
  <c r="C202" i="330"/>
  <c r="C203" i="330"/>
  <c r="C204" i="330"/>
  <c r="C199" i="330"/>
  <c r="C205" i="330"/>
  <c r="C206" i="330"/>
  <c r="C207" i="330"/>
  <c r="C208" i="330"/>
  <c r="C191" i="330"/>
  <c r="C190" i="330"/>
  <c r="C192" i="330"/>
  <c r="C193" i="330"/>
  <c r="C194" i="330"/>
  <c r="C195" i="330"/>
  <c r="C196" i="330"/>
  <c r="C188" i="330"/>
  <c r="C187" i="330"/>
  <c r="C186" i="330" s="1"/>
  <c r="C37" i="241" s="1"/>
  <c r="C179" i="330"/>
  <c r="C178" i="330"/>
  <c r="C177" i="330" s="1"/>
  <c r="C36" i="241" s="1"/>
  <c r="C180" i="330"/>
  <c r="C181" i="330"/>
  <c r="C182" i="330"/>
  <c r="C183" i="330"/>
  <c r="C184" i="330"/>
  <c r="C185" i="330"/>
  <c r="C173" i="330"/>
  <c r="C174" i="330"/>
  <c r="C175" i="330"/>
  <c r="C176" i="330"/>
  <c r="C172" i="330"/>
  <c r="C151" i="330"/>
  <c r="C152" i="330"/>
  <c r="C153" i="330"/>
  <c r="C154" i="330"/>
  <c r="C155" i="330"/>
  <c r="C156" i="330"/>
  <c r="C157" i="330"/>
  <c r="C158" i="330"/>
  <c r="C159" i="330"/>
  <c r="C160" i="330"/>
  <c r="C161" i="330"/>
  <c r="C162" i="330"/>
  <c r="C150" i="330"/>
  <c r="C163" i="330"/>
  <c r="C164" i="330"/>
  <c r="C165" i="330"/>
  <c r="C166" i="330"/>
  <c r="C167" i="330"/>
  <c r="C168" i="330"/>
  <c r="C169" i="330"/>
  <c r="C170" i="330"/>
  <c r="C147" i="330"/>
  <c r="C146" i="330" s="1"/>
  <c r="C32" i="241" s="1"/>
  <c r="C134" i="330"/>
  <c r="C135" i="330"/>
  <c r="C136" i="330"/>
  <c r="C137" i="330"/>
  <c r="C138" i="330"/>
  <c r="C139" i="330"/>
  <c r="C140" i="330"/>
  <c r="C141" i="330"/>
  <c r="C142" i="330"/>
  <c r="C143" i="330"/>
  <c r="C144" i="330"/>
  <c r="C145" i="330"/>
  <c r="C133" i="330"/>
  <c r="C131" i="330"/>
  <c r="C130" i="330"/>
  <c r="F33" i="269"/>
  <c r="F9" i="269"/>
  <c r="F10" i="269"/>
  <c r="F11" i="269"/>
  <c r="F12" i="269"/>
  <c r="F13" i="269"/>
  <c r="E9" i="269"/>
  <c r="E8" i="269" s="1"/>
  <c r="E10" i="269"/>
  <c r="E11" i="269"/>
  <c r="E12" i="269"/>
  <c r="E13" i="269"/>
  <c r="K35" i="270"/>
  <c r="K33" i="270"/>
  <c r="H35" i="270"/>
  <c r="H33" i="270" s="1"/>
  <c r="G35" i="270"/>
  <c r="G33" i="270" s="1"/>
  <c r="E35" i="270"/>
  <c r="E33" i="270" s="1"/>
  <c r="D35" i="270"/>
  <c r="D33" i="270"/>
  <c r="O6" i="317"/>
  <c r="M6" i="317"/>
  <c r="K6" i="317"/>
  <c r="N29" i="317"/>
  <c r="E26" i="182"/>
  <c r="E50" i="182"/>
  <c r="F26" i="182"/>
  <c r="F50" i="182"/>
  <c r="E21" i="267"/>
  <c r="G26" i="182"/>
  <c r="G50" i="182"/>
  <c r="H26" i="182"/>
  <c r="H50" i="182"/>
  <c r="H69" i="182"/>
  <c r="K26" i="182"/>
  <c r="J9" i="267" s="1"/>
  <c r="K50" i="182"/>
  <c r="D26" i="182"/>
  <c r="D50" i="182"/>
  <c r="F7" i="177"/>
  <c r="F8" i="177"/>
  <c r="F9" i="177"/>
  <c r="F10" i="177"/>
  <c r="F11" i="177"/>
  <c r="F12" i="177"/>
  <c r="F13" i="177"/>
  <c r="F15" i="177"/>
  <c r="F16" i="177"/>
  <c r="F17" i="177"/>
  <c r="F18" i="177"/>
  <c r="F22" i="177"/>
  <c r="F24" i="177"/>
  <c r="F25" i="177"/>
  <c r="F27" i="177"/>
  <c r="F32" i="177"/>
  <c r="F33" i="177"/>
  <c r="F34" i="177"/>
  <c r="F36" i="177"/>
  <c r="O24" i="238"/>
  <c r="G50" i="178"/>
  <c r="G40" i="178"/>
  <c r="G44" i="178" s="1"/>
  <c r="J39" i="267" s="1"/>
  <c r="G49" i="178"/>
  <c r="G43" i="178"/>
  <c r="G41" i="178"/>
  <c r="G37" i="178"/>
  <c r="G36" i="178"/>
  <c r="G30" i="178"/>
  <c r="G31" i="178"/>
  <c r="G32" i="178"/>
  <c r="G33" i="178"/>
  <c r="G34" i="178"/>
  <c r="G35" i="178"/>
  <c r="G7" i="178"/>
  <c r="H54" i="174"/>
  <c r="G25" i="178"/>
  <c r="G24" i="178"/>
  <c r="G16" i="178"/>
  <c r="G17" i="178"/>
  <c r="G18" i="178"/>
  <c r="G19" i="178"/>
  <c r="G21" i="178"/>
  <c r="G22" i="178"/>
  <c r="G23" i="178"/>
  <c r="G26" i="178"/>
  <c r="J37" i="267" s="1"/>
  <c r="G13" i="178"/>
  <c r="G8" i="178"/>
  <c r="G9" i="178"/>
  <c r="G14" i="178" s="1"/>
  <c r="G10" i="178"/>
  <c r="G11" i="178"/>
  <c r="G12" i="178"/>
  <c r="D18" i="178"/>
  <c r="D11" i="178"/>
  <c r="D7" i="178"/>
  <c r="D8" i="178"/>
  <c r="D9" i="178"/>
  <c r="D10" i="178"/>
  <c r="D12" i="178"/>
  <c r="D13" i="178"/>
  <c r="K36" i="177"/>
  <c r="K32" i="177"/>
  <c r="K33" i="177"/>
  <c r="K34" i="177"/>
  <c r="K16" i="177"/>
  <c r="H58" i="174"/>
  <c r="K27" i="177"/>
  <c r="K28" i="177" s="1"/>
  <c r="J44" i="267" s="1"/>
  <c r="K22" i="177"/>
  <c r="K24" i="177"/>
  <c r="K25" i="177"/>
  <c r="K17" i="177"/>
  <c r="K15" i="177"/>
  <c r="K7" i="177"/>
  <c r="K8" i="177"/>
  <c r="K9" i="177"/>
  <c r="K10" i="177"/>
  <c r="K11" i="177"/>
  <c r="K12" i="177"/>
  <c r="K13" i="177"/>
  <c r="H36" i="177"/>
  <c r="H37" i="177" s="1"/>
  <c r="I17" i="177"/>
  <c r="J17" i="177" s="1"/>
  <c r="I15" i="177"/>
  <c r="J15" i="177" s="1"/>
  <c r="E27" i="177"/>
  <c r="E22" i="177"/>
  <c r="E24" i="177"/>
  <c r="E25" i="177"/>
  <c r="E36" i="177"/>
  <c r="E17" i="177"/>
  <c r="E16" i="177"/>
  <c r="E15" i="177"/>
  <c r="E7" i="177"/>
  <c r="E8" i="177"/>
  <c r="E9" i="177"/>
  <c r="E10" i="177"/>
  <c r="E11" i="177"/>
  <c r="E12" i="177"/>
  <c r="E13" i="177"/>
  <c r="E32" i="177"/>
  <c r="E33" i="177"/>
  <c r="E34" i="177"/>
  <c r="D27" i="177"/>
  <c r="D22" i="177"/>
  <c r="D24" i="177"/>
  <c r="D25" i="177"/>
  <c r="D36" i="177"/>
  <c r="D32" i="177"/>
  <c r="D33" i="177"/>
  <c r="D34" i="177"/>
  <c r="D37" i="177"/>
  <c r="C45" i="267"/>
  <c r="D16" i="177"/>
  <c r="D17" i="177"/>
  <c r="D15" i="177"/>
  <c r="D36" i="334"/>
  <c r="D31" i="334" s="1"/>
  <c r="E14" i="334"/>
  <c r="F14" i="334"/>
  <c r="G14" i="334"/>
  <c r="D14" i="334"/>
  <c r="D8" i="334" s="1"/>
  <c r="K29" i="269"/>
  <c r="K28" i="269"/>
  <c r="K26" i="269"/>
  <c r="K25" i="269"/>
  <c r="K24" i="269"/>
  <c r="K17" i="269"/>
  <c r="K18" i="269"/>
  <c r="K19" i="269"/>
  <c r="K20" i="269"/>
  <c r="K21" i="269"/>
  <c r="K22" i="269"/>
  <c r="K23" i="269"/>
  <c r="K13" i="269"/>
  <c r="K12" i="269"/>
  <c r="K9" i="269"/>
  <c r="K10" i="269"/>
  <c r="K11" i="269"/>
  <c r="K8" i="269" s="1"/>
  <c r="G13" i="269"/>
  <c r="G12" i="269"/>
  <c r="G11" i="269"/>
  <c r="G9" i="269"/>
  <c r="G10" i="269"/>
  <c r="K30" i="270"/>
  <c r="K28" i="270"/>
  <c r="K27" i="270"/>
  <c r="K25" i="270"/>
  <c r="K24" i="270"/>
  <c r="K23" i="270"/>
  <c r="K17" i="270"/>
  <c r="K18" i="270"/>
  <c r="K19" i="270"/>
  <c r="K20" i="270"/>
  <c r="K21" i="270"/>
  <c r="K22" i="270"/>
  <c r="K9" i="270"/>
  <c r="K10" i="270"/>
  <c r="K11" i="270"/>
  <c r="K12" i="270"/>
  <c r="K13" i="270"/>
  <c r="H30" i="270"/>
  <c r="I30" i="270" s="1"/>
  <c r="G30" i="270"/>
  <c r="H28" i="270"/>
  <c r="H27" i="270"/>
  <c r="H25" i="270"/>
  <c r="G25" i="270"/>
  <c r="I25" i="270"/>
  <c r="J25" i="270"/>
  <c r="H24" i="270"/>
  <c r="H23" i="270"/>
  <c r="H17" i="270"/>
  <c r="H18" i="270"/>
  <c r="H19" i="270"/>
  <c r="H20" i="270"/>
  <c r="H21" i="270"/>
  <c r="G21" i="270"/>
  <c r="I21" i="270" s="1"/>
  <c r="J21" i="270" s="1"/>
  <c r="H22" i="270"/>
  <c r="H9" i="270"/>
  <c r="H10" i="270"/>
  <c r="H11" i="270"/>
  <c r="H12" i="270"/>
  <c r="H13" i="270"/>
  <c r="G17" i="270"/>
  <c r="G18" i="270"/>
  <c r="G19" i="270"/>
  <c r="G20" i="270"/>
  <c r="G22" i="270"/>
  <c r="I22" i="270"/>
  <c r="J22" i="270"/>
  <c r="G23" i="270"/>
  <c r="G24" i="270"/>
  <c r="G27" i="270"/>
  <c r="G28" i="270"/>
  <c r="G9" i="270"/>
  <c r="G10" i="270"/>
  <c r="G11" i="270"/>
  <c r="I11" i="270"/>
  <c r="J11" i="270" s="1"/>
  <c r="G12" i="270"/>
  <c r="G13" i="270"/>
  <c r="F9" i="270"/>
  <c r="F8" i="270" s="1"/>
  <c r="F10" i="270"/>
  <c r="F11" i="270"/>
  <c r="F12" i="270"/>
  <c r="F13" i="270"/>
  <c r="E30" i="270"/>
  <c r="E28" i="270"/>
  <c r="E17" i="270"/>
  <c r="E18" i="270"/>
  <c r="E19" i="270"/>
  <c r="E20" i="270"/>
  <c r="E21" i="270"/>
  <c r="E22" i="270"/>
  <c r="E23" i="270"/>
  <c r="E24" i="270"/>
  <c r="E25" i="270"/>
  <c r="E27" i="270"/>
  <c r="E9" i="270"/>
  <c r="E10" i="270"/>
  <c r="E11" i="270"/>
  <c r="E12" i="270"/>
  <c r="E13" i="270"/>
  <c r="D9" i="270"/>
  <c r="D10" i="270"/>
  <c r="D11" i="270"/>
  <c r="D12" i="270"/>
  <c r="D13" i="270"/>
  <c r="D17" i="270"/>
  <c r="D18" i="270"/>
  <c r="D19" i="270"/>
  <c r="D21" i="270"/>
  <c r="D22" i="270"/>
  <c r="D16" i="270" s="1"/>
  <c r="D23" i="270"/>
  <c r="D24" i="270"/>
  <c r="D25" i="270"/>
  <c r="D27" i="270"/>
  <c r="D28" i="270"/>
  <c r="D30" i="270"/>
  <c r="D6" i="173"/>
  <c r="D7" i="173"/>
  <c r="D8" i="173"/>
  <c r="D9" i="173"/>
  <c r="D10" i="173"/>
  <c r="D11" i="173"/>
  <c r="D12" i="173"/>
  <c r="D13" i="173"/>
  <c r="C13" i="173"/>
  <c r="E13" i="173"/>
  <c r="F13" i="173"/>
  <c r="G13" i="173"/>
  <c r="H13" i="173"/>
  <c r="I13" i="173"/>
  <c r="J13" i="173"/>
  <c r="D14" i="173"/>
  <c r="C9" i="173"/>
  <c r="E9" i="173"/>
  <c r="F9" i="173"/>
  <c r="G9" i="173"/>
  <c r="G6" i="173"/>
  <c r="G7" i="173"/>
  <c r="G8" i="173"/>
  <c r="G10" i="173"/>
  <c r="G11" i="173"/>
  <c r="G12" i="173"/>
  <c r="G14" i="173"/>
  <c r="H9" i="173"/>
  <c r="I9" i="173"/>
  <c r="I6" i="173"/>
  <c r="I7" i="173"/>
  <c r="I8" i="173"/>
  <c r="I10" i="173"/>
  <c r="I11" i="173"/>
  <c r="I12" i="173"/>
  <c r="I14" i="173"/>
  <c r="J9" i="173"/>
  <c r="C11" i="173"/>
  <c r="E11" i="173"/>
  <c r="F11" i="173"/>
  <c r="H11" i="173"/>
  <c r="J11" i="173"/>
  <c r="E6" i="173"/>
  <c r="E7" i="173"/>
  <c r="E8" i="173"/>
  <c r="E10" i="173"/>
  <c r="E12" i="173"/>
  <c r="E14" i="173"/>
  <c r="C12" i="173"/>
  <c r="F12" i="173"/>
  <c r="H12" i="173"/>
  <c r="J12" i="173"/>
  <c r="J6" i="173"/>
  <c r="J7" i="173"/>
  <c r="J8" i="173"/>
  <c r="J10" i="173"/>
  <c r="J14" i="173"/>
  <c r="C14" i="173"/>
  <c r="F14" i="173"/>
  <c r="H14" i="173"/>
  <c r="C10" i="173"/>
  <c r="F10" i="173"/>
  <c r="H10" i="173"/>
  <c r="F6" i="173"/>
  <c r="C6" i="173"/>
  <c r="H6" i="173"/>
  <c r="F7" i="173"/>
  <c r="F8" i="173"/>
  <c r="H7" i="173"/>
  <c r="H8" i="173"/>
  <c r="C7" i="173"/>
  <c r="C8" i="173"/>
  <c r="L16" i="173"/>
  <c r="N25" i="238"/>
  <c r="N30" i="238"/>
  <c r="L25" i="238"/>
  <c r="L30" i="238"/>
  <c r="M25" i="238"/>
  <c r="M30" i="238" s="1"/>
  <c r="K25" i="238"/>
  <c r="K30" i="238"/>
  <c r="K50" i="269"/>
  <c r="K31" i="269"/>
  <c r="H22" i="177"/>
  <c r="H33" i="177"/>
  <c r="K15" i="182"/>
  <c r="J8" i="267"/>
  <c r="D15" i="182"/>
  <c r="C8" i="267" s="1"/>
  <c r="E15" i="182"/>
  <c r="D8" i="267"/>
  <c r="F15" i="182"/>
  <c r="E8" i="267"/>
  <c r="G15" i="182"/>
  <c r="H15" i="182"/>
  <c r="G8" i="267" s="1"/>
  <c r="K50" i="318"/>
  <c r="K49" i="318"/>
  <c r="K38" i="318"/>
  <c r="K39" i="318"/>
  <c r="K40" i="318"/>
  <c r="K41" i="318"/>
  <c r="K42" i="318"/>
  <c r="K43" i="318"/>
  <c r="K44" i="318"/>
  <c r="K45" i="318"/>
  <c r="K46" i="318"/>
  <c r="K47" i="318"/>
  <c r="K48" i="318"/>
  <c r="K52" i="318"/>
  <c r="D52" i="318"/>
  <c r="E52" i="318"/>
  <c r="F52" i="318"/>
  <c r="G52" i="318"/>
  <c r="H52" i="318"/>
  <c r="D39" i="318"/>
  <c r="D38" i="318"/>
  <c r="D40" i="318"/>
  <c r="D41" i="318"/>
  <c r="D42" i="318"/>
  <c r="D43" i="318"/>
  <c r="D44" i="318"/>
  <c r="D45" i="318"/>
  <c r="D46" i="318"/>
  <c r="D47" i="318"/>
  <c r="D48" i="318"/>
  <c r="D49" i="318"/>
  <c r="D50" i="318"/>
  <c r="E39" i="318"/>
  <c r="E38" i="318"/>
  <c r="E40" i="318"/>
  <c r="E41" i="318"/>
  <c r="E42" i="318"/>
  <c r="E43" i="318"/>
  <c r="E44" i="318"/>
  <c r="E45" i="318"/>
  <c r="E46" i="318"/>
  <c r="E47" i="318"/>
  <c r="E48" i="318"/>
  <c r="E49" i="318"/>
  <c r="E50" i="318"/>
  <c r="F39" i="318"/>
  <c r="G39" i="318"/>
  <c r="H39" i="318"/>
  <c r="I39" i="318"/>
  <c r="H38" i="318"/>
  <c r="H40" i="318"/>
  <c r="H41" i="318"/>
  <c r="G41" i="318"/>
  <c r="I41" i="318" s="1"/>
  <c r="H42" i="318"/>
  <c r="G42" i="318"/>
  <c r="H43" i="318"/>
  <c r="H44" i="318"/>
  <c r="H45" i="318"/>
  <c r="G45" i="318"/>
  <c r="H46" i="318"/>
  <c r="H47" i="318"/>
  <c r="H48" i="318"/>
  <c r="H49" i="318"/>
  <c r="H50" i="318"/>
  <c r="I50" i="318" s="1"/>
  <c r="F40" i="318"/>
  <c r="F38" i="318"/>
  <c r="F41" i="318"/>
  <c r="F42" i="318"/>
  <c r="F43" i="318"/>
  <c r="F44" i="318"/>
  <c r="F45" i="318"/>
  <c r="F46" i="318"/>
  <c r="F47" i="318"/>
  <c r="F48" i="318"/>
  <c r="F49" i="318"/>
  <c r="F50" i="318"/>
  <c r="G40" i="318"/>
  <c r="G43" i="318"/>
  <c r="G44" i="318"/>
  <c r="G46" i="318"/>
  <c r="G47" i="318"/>
  <c r="G48" i="318"/>
  <c r="I48" i="318" s="1"/>
  <c r="G49" i="318"/>
  <c r="I49" i="318"/>
  <c r="G50" i="318"/>
  <c r="G38" i="318"/>
  <c r="K32" i="318"/>
  <c r="D32" i="318"/>
  <c r="E32" i="318"/>
  <c r="F32" i="318"/>
  <c r="G32" i="318"/>
  <c r="H32" i="318"/>
  <c r="A33" i="334"/>
  <c r="A34" i="334"/>
  <c r="A35" i="334"/>
  <c r="G35" i="182"/>
  <c r="H35" i="182"/>
  <c r="H36" i="182"/>
  <c r="G36" i="182"/>
  <c r="F26" i="361"/>
  <c r="G40" i="182"/>
  <c r="H40" i="182"/>
  <c r="G41" i="182"/>
  <c r="H41" i="182"/>
  <c r="G37" i="182"/>
  <c r="H37" i="182"/>
  <c r="G38" i="182"/>
  <c r="G39" i="182"/>
  <c r="G42" i="182"/>
  <c r="G43" i="182"/>
  <c r="G44" i="182"/>
  <c r="G45" i="182"/>
  <c r="G46" i="182"/>
  <c r="G47" i="182"/>
  <c r="H47" i="182"/>
  <c r="H39" i="182"/>
  <c r="H43" i="182"/>
  <c r="G17" i="267"/>
  <c r="H44" i="182"/>
  <c r="H46" i="182"/>
  <c r="J46" i="182" s="1"/>
  <c r="H38" i="182"/>
  <c r="H25" i="242"/>
  <c r="G25" i="242"/>
  <c r="A24" i="269"/>
  <c r="F8" i="178"/>
  <c r="F14" i="178" s="1"/>
  <c r="F36" i="267" s="1"/>
  <c r="F9" i="178"/>
  <c r="F10" i="178"/>
  <c r="F11" i="178"/>
  <c r="F12" i="178"/>
  <c r="F13" i="178"/>
  <c r="K19" i="318"/>
  <c r="K18" i="318"/>
  <c r="K20" i="318"/>
  <c r="K21" i="318"/>
  <c r="K22" i="318"/>
  <c r="K23" i="318"/>
  <c r="K24" i="318"/>
  <c r="K25" i="318"/>
  <c r="K26" i="318"/>
  <c r="K27" i="318"/>
  <c r="K28" i="318"/>
  <c r="K29" i="318"/>
  <c r="K30" i="318"/>
  <c r="D19" i="318"/>
  <c r="E19" i="318"/>
  <c r="F19" i="318"/>
  <c r="G19" i="318"/>
  <c r="H19" i="318"/>
  <c r="D20" i="318"/>
  <c r="D18" i="318"/>
  <c r="D21" i="318"/>
  <c r="D22" i="318"/>
  <c r="D23" i="318"/>
  <c r="D24" i="318"/>
  <c r="D25" i="318"/>
  <c r="D26" i="318"/>
  <c r="D27" i="318"/>
  <c r="D28" i="318"/>
  <c r="D29" i="318"/>
  <c r="D30" i="318"/>
  <c r="E20" i="318"/>
  <c r="F20" i="318"/>
  <c r="G20" i="318"/>
  <c r="H20" i="318"/>
  <c r="E21" i="318"/>
  <c r="E18" i="318"/>
  <c r="E22" i="318"/>
  <c r="E23" i="318"/>
  <c r="E24" i="318"/>
  <c r="E25" i="318"/>
  <c r="E26" i="318"/>
  <c r="E27" i="318"/>
  <c r="E28" i="318"/>
  <c r="E29" i="318"/>
  <c r="E30" i="318"/>
  <c r="F21" i="318"/>
  <c r="F18" i="318"/>
  <c r="F22" i="318"/>
  <c r="F23" i="318"/>
  <c r="F24" i="318"/>
  <c r="F25" i="318"/>
  <c r="F26" i="318"/>
  <c r="F27" i="318"/>
  <c r="F28" i="318"/>
  <c r="F29" i="318"/>
  <c r="F30" i="318"/>
  <c r="G21" i="318"/>
  <c r="H21" i="318"/>
  <c r="I21" i="318"/>
  <c r="J21" i="318" s="1"/>
  <c r="G22" i="318"/>
  <c r="H22" i="318"/>
  <c r="H18" i="318"/>
  <c r="H23" i="318"/>
  <c r="H24" i="318"/>
  <c r="H25" i="318"/>
  <c r="H26" i="318"/>
  <c r="H27" i="318"/>
  <c r="H28" i="318"/>
  <c r="J28" i="318" s="1"/>
  <c r="H29" i="318"/>
  <c r="J29" i="318" s="1"/>
  <c r="H30" i="318"/>
  <c r="J30" i="318" s="1"/>
  <c r="G23" i="318"/>
  <c r="G24" i="318"/>
  <c r="G25" i="318"/>
  <c r="I25" i="318"/>
  <c r="G26" i="318"/>
  <c r="G27" i="318"/>
  <c r="I27" i="318" s="1"/>
  <c r="J27" i="318" s="1"/>
  <c r="G28" i="318"/>
  <c r="G29" i="318"/>
  <c r="G30" i="318"/>
  <c r="G18" i="318"/>
  <c r="C33" i="270"/>
  <c r="C16" i="270"/>
  <c r="D35" i="182"/>
  <c r="D36" i="182"/>
  <c r="C36" i="361" s="1"/>
  <c r="D7" i="182"/>
  <c r="D8" i="182"/>
  <c r="D9" i="182"/>
  <c r="D10" i="182"/>
  <c r="D22" i="182"/>
  <c r="C6" i="267"/>
  <c r="D11" i="182"/>
  <c r="D12" i="182"/>
  <c r="D13" i="182"/>
  <c r="D14" i="182"/>
  <c r="D16" i="182"/>
  <c r="D17" i="182"/>
  <c r="D18" i="182"/>
  <c r="D19" i="182"/>
  <c r="D20" i="182"/>
  <c r="D23" i="182"/>
  <c r="D24" i="182"/>
  <c r="D25" i="182"/>
  <c r="D27" i="182"/>
  <c r="D28" i="182"/>
  <c r="E56" i="174" s="1"/>
  <c r="D29" i="182"/>
  <c r="D30" i="182"/>
  <c r="D31" i="182"/>
  <c r="D32" i="182"/>
  <c r="E35" i="182"/>
  <c r="F35" i="182"/>
  <c r="F36" i="182"/>
  <c r="F37" i="182"/>
  <c r="F38" i="182"/>
  <c r="F39" i="182"/>
  <c r="F40" i="182"/>
  <c r="E24" i="361" s="1"/>
  <c r="F41" i="182"/>
  <c r="F42" i="182"/>
  <c r="F43" i="182"/>
  <c r="E17" i="267"/>
  <c r="F44" i="182"/>
  <c r="F45" i="182"/>
  <c r="F46" i="182"/>
  <c r="F47" i="182"/>
  <c r="K35" i="182"/>
  <c r="E36" i="182"/>
  <c r="D13" i="267"/>
  <c r="D26" i="361"/>
  <c r="K36" i="182"/>
  <c r="D8" i="324"/>
  <c r="D9" i="324"/>
  <c r="D10" i="324"/>
  <c r="D11" i="324"/>
  <c r="D12" i="324"/>
  <c r="D13" i="324"/>
  <c r="D14" i="324"/>
  <c r="D15" i="324"/>
  <c r="D16" i="324"/>
  <c r="D17" i="324"/>
  <c r="D18" i="324"/>
  <c r="D19" i="324"/>
  <c r="D21" i="324"/>
  <c r="D22" i="324"/>
  <c r="D23" i="324"/>
  <c r="D24" i="324"/>
  <c r="D25" i="324"/>
  <c r="D26" i="324"/>
  <c r="D27" i="324"/>
  <c r="D29" i="324"/>
  <c r="D30" i="324"/>
  <c r="D31" i="324"/>
  <c r="D32" i="324"/>
  <c r="D34" i="324"/>
  <c r="D35" i="324"/>
  <c r="D36" i="324"/>
  <c r="D37" i="324"/>
  <c r="D38" i="324"/>
  <c r="D39" i="324"/>
  <c r="D40" i="324"/>
  <c r="D41" i="324"/>
  <c r="D42" i="324"/>
  <c r="D43" i="324"/>
  <c r="D44" i="324"/>
  <c r="D45" i="324"/>
  <c r="D46" i="324"/>
  <c r="D48" i="324"/>
  <c r="D49" i="324"/>
  <c r="D50" i="324"/>
  <c r="D52" i="324"/>
  <c r="D51" i="324"/>
  <c r="D11" i="268" s="1"/>
  <c r="D54" i="324"/>
  <c r="D55" i="324"/>
  <c r="D56" i="324"/>
  <c r="D57" i="324"/>
  <c r="D59" i="324"/>
  <c r="D60" i="324"/>
  <c r="D61" i="324"/>
  <c r="D62" i="324"/>
  <c r="D63" i="324"/>
  <c r="D65" i="324"/>
  <c r="D66" i="324"/>
  <c r="D67" i="324"/>
  <c r="D68" i="324"/>
  <c r="D69" i="324"/>
  <c r="D70" i="324"/>
  <c r="D71" i="324"/>
  <c r="D73" i="324"/>
  <c r="D74" i="324"/>
  <c r="D72" i="324" s="1"/>
  <c r="D15" i="268" s="1"/>
  <c r="D76" i="324"/>
  <c r="D77" i="324"/>
  <c r="D78" i="324"/>
  <c r="D79" i="324"/>
  <c r="D80" i="324"/>
  <c r="D81" i="324"/>
  <c r="D82" i="324"/>
  <c r="D83" i="324"/>
  <c r="D84" i="324"/>
  <c r="D85" i="324"/>
  <c r="D86" i="324"/>
  <c r="D87" i="324"/>
  <c r="D88" i="324"/>
  <c r="D90" i="324"/>
  <c r="D91" i="324"/>
  <c r="D93" i="324"/>
  <c r="D94" i="324"/>
  <c r="D95" i="324"/>
  <c r="D96" i="324"/>
  <c r="D97" i="324"/>
  <c r="D98" i="324"/>
  <c r="D99" i="324"/>
  <c r="D100" i="324"/>
  <c r="D101" i="324"/>
  <c r="D102" i="324"/>
  <c r="D103" i="324"/>
  <c r="D104" i="324"/>
  <c r="D105" i="324"/>
  <c r="D107" i="324"/>
  <c r="D106" i="324"/>
  <c r="D19" i="268" s="1"/>
  <c r="D109" i="324"/>
  <c r="D110" i="324"/>
  <c r="D116" i="324"/>
  <c r="D117" i="324"/>
  <c r="D118" i="324"/>
  <c r="D119" i="324"/>
  <c r="D120" i="324"/>
  <c r="D121" i="324"/>
  <c r="D122" i="324"/>
  <c r="D123" i="324"/>
  <c r="D124" i="324"/>
  <c r="D125" i="324"/>
  <c r="D129" i="324"/>
  <c r="D130" i="324"/>
  <c r="D131" i="324"/>
  <c r="D132" i="324"/>
  <c r="D133" i="324"/>
  <c r="D134" i="324"/>
  <c r="D135" i="324"/>
  <c r="D137" i="324"/>
  <c r="D138" i="324"/>
  <c r="D139" i="324"/>
  <c r="D140" i="324"/>
  <c r="D142" i="324"/>
  <c r="D143" i="324"/>
  <c r="D144" i="324"/>
  <c r="D145" i="324"/>
  <c r="D146" i="324"/>
  <c r="D147" i="324"/>
  <c r="D148" i="324"/>
  <c r="D149" i="324"/>
  <c r="D150" i="324"/>
  <c r="D151" i="324"/>
  <c r="D152" i="324"/>
  <c r="D153" i="324"/>
  <c r="D154" i="324"/>
  <c r="D156" i="324"/>
  <c r="D157" i="324"/>
  <c r="D158" i="324"/>
  <c r="D160" i="324"/>
  <c r="D159" i="324"/>
  <c r="D29" i="268"/>
  <c r="D162" i="324"/>
  <c r="D163" i="324"/>
  <c r="D164" i="324"/>
  <c r="D165" i="324"/>
  <c r="D167" i="324"/>
  <c r="D168" i="324"/>
  <c r="D169" i="324"/>
  <c r="D170" i="324"/>
  <c r="D171" i="324"/>
  <c r="D173" i="324"/>
  <c r="D174" i="324"/>
  <c r="D172" i="324" s="1"/>
  <c r="D175" i="324"/>
  <c r="D176" i="324"/>
  <c r="D177" i="324"/>
  <c r="D178" i="324"/>
  <c r="D179" i="324"/>
  <c r="D181" i="324"/>
  <c r="D182" i="324"/>
  <c r="D180" i="324" s="1"/>
  <c r="D33" i="268" s="1"/>
  <c r="D184" i="324"/>
  <c r="D185" i="324"/>
  <c r="D186" i="324"/>
  <c r="D187" i="324"/>
  <c r="D188" i="324"/>
  <c r="D189" i="324"/>
  <c r="D190" i="324"/>
  <c r="D191" i="324"/>
  <c r="D192" i="324"/>
  <c r="D193" i="324"/>
  <c r="D194" i="324"/>
  <c r="D195" i="324"/>
  <c r="D196" i="324"/>
  <c r="D183" i="324"/>
  <c r="D198" i="324"/>
  <c r="D197" i="324" s="1"/>
  <c r="D35" i="268" s="1"/>
  <c r="D199" i="324"/>
  <c r="D201" i="324"/>
  <c r="D202" i="324"/>
  <c r="D203" i="324"/>
  <c r="D204" i="324"/>
  <c r="D205" i="324"/>
  <c r="D206" i="324"/>
  <c r="D207" i="324"/>
  <c r="D208" i="324"/>
  <c r="D209" i="324"/>
  <c r="D210" i="324"/>
  <c r="D211" i="324"/>
  <c r="D212" i="324"/>
  <c r="D213" i="324"/>
  <c r="D215" i="324"/>
  <c r="D214" i="324" s="1"/>
  <c r="D37" i="268"/>
  <c r="D217" i="324"/>
  <c r="D218" i="324"/>
  <c r="E8" i="324"/>
  <c r="E9" i="324"/>
  <c r="E10" i="324"/>
  <c r="E11" i="324"/>
  <c r="E12" i="324"/>
  <c r="E13" i="324"/>
  <c r="E14" i="324"/>
  <c r="E15" i="324"/>
  <c r="E16" i="324"/>
  <c r="E17" i="324"/>
  <c r="E18" i="324"/>
  <c r="E19" i="324"/>
  <c r="E21" i="324"/>
  <c r="E22" i="324"/>
  <c r="E23" i="324"/>
  <c r="E24" i="324"/>
  <c r="E25" i="324"/>
  <c r="E26" i="324"/>
  <c r="E27" i="324"/>
  <c r="E29" i="324"/>
  <c r="E30" i="324"/>
  <c r="E31" i="324"/>
  <c r="E32" i="324"/>
  <c r="E34" i="324"/>
  <c r="E35" i="324"/>
  <c r="E36" i="324"/>
  <c r="E37" i="324"/>
  <c r="E38" i="324"/>
  <c r="E39" i="324"/>
  <c r="E40" i="324"/>
  <c r="E41" i="324"/>
  <c r="E42" i="324"/>
  <c r="E43" i="324"/>
  <c r="E44" i="324"/>
  <c r="E45" i="324"/>
  <c r="E46" i="324"/>
  <c r="E48" i="324"/>
  <c r="E47" i="324" s="1"/>
  <c r="E49" i="324"/>
  <c r="E50" i="324"/>
  <c r="E10" i="268"/>
  <c r="E52" i="324"/>
  <c r="E51" i="324" s="1"/>
  <c r="E11" i="268" s="1"/>
  <c r="E54" i="324"/>
  <c r="E53" i="324" s="1"/>
  <c r="E12" i="268" s="1"/>
  <c r="E55" i="324"/>
  <c r="E56" i="324"/>
  <c r="E57" i="324"/>
  <c r="E59" i="324"/>
  <c r="E60" i="324"/>
  <c r="E61" i="324"/>
  <c r="E62" i="324"/>
  <c r="E63" i="324"/>
  <c r="E65" i="324"/>
  <c r="E66" i="324"/>
  <c r="E67" i="324"/>
  <c r="E68" i="324"/>
  <c r="E69" i="324"/>
  <c r="E70" i="324"/>
  <c r="E71" i="324"/>
  <c r="E73" i="324"/>
  <c r="E74" i="324"/>
  <c r="E76" i="324"/>
  <c r="E77" i="324"/>
  <c r="E78" i="324"/>
  <c r="E79" i="324"/>
  <c r="E80" i="324"/>
  <c r="E81" i="324"/>
  <c r="E82" i="324"/>
  <c r="E83" i="324"/>
  <c r="E84" i="324"/>
  <c r="E85" i="324"/>
  <c r="E86" i="324"/>
  <c r="E87" i="324"/>
  <c r="E88" i="324"/>
  <c r="E90" i="324"/>
  <c r="E89" i="324" s="1"/>
  <c r="E17" i="268" s="1"/>
  <c r="E91" i="324"/>
  <c r="E93" i="324"/>
  <c r="E94" i="324"/>
  <c r="E95" i="324"/>
  <c r="E96" i="324"/>
  <c r="E97" i="324"/>
  <c r="E98" i="324"/>
  <c r="E99" i="324"/>
  <c r="E100" i="324"/>
  <c r="E101" i="324"/>
  <c r="E102" i="324"/>
  <c r="E103" i="324"/>
  <c r="E104" i="324"/>
  <c r="E105" i="324"/>
  <c r="E107" i="324"/>
  <c r="E106" i="324"/>
  <c r="E19" i="268" s="1"/>
  <c r="E109" i="324"/>
  <c r="E108" i="324" s="1"/>
  <c r="E110" i="324"/>
  <c r="E20" i="268"/>
  <c r="E116" i="324"/>
  <c r="E117" i="324"/>
  <c r="E118" i="324"/>
  <c r="E119" i="324"/>
  <c r="E120" i="324"/>
  <c r="E121" i="324"/>
  <c r="E122" i="324"/>
  <c r="E123" i="324"/>
  <c r="E124" i="324"/>
  <c r="E125" i="324"/>
  <c r="E129" i="324"/>
  <c r="E130" i="324"/>
  <c r="E131" i="324"/>
  <c r="E132" i="324"/>
  <c r="E133" i="324"/>
  <c r="E134" i="324"/>
  <c r="E135" i="324"/>
  <c r="E137" i="324"/>
  <c r="E138" i="324"/>
  <c r="E139" i="324"/>
  <c r="E140" i="324"/>
  <c r="E142" i="324"/>
  <c r="E143" i="324"/>
  <c r="E144" i="324"/>
  <c r="E145" i="324"/>
  <c r="E146" i="324"/>
  <c r="E147" i="324"/>
  <c r="E148" i="324"/>
  <c r="E149" i="324"/>
  <c r="E150" i="324"/>
  <c r="E151" i="324"/>
  <c r="E152" i="324"/>
  <c r="E153" i="324"/>
  <c r="E154" i="324"/>
  <c r="E156" i="324"/>
  <c r="E157" i="324"/>
  <c r="E158" i="324"/>
  <c r="E155" i="324"/>
  <c r="E28" i="268"/>
  <c r="E160" i="324"/>
  <c r="E159" i="324"/>
  <c r="E29" i="268" s="1"/>
  <c r="E162" i="324"/>
  <c r="E163" i="324"/>
  <c r="E164" i="324"/>
  <c r="E165" i="324"/>
  <c r="E161" i="324"/>
  <c r="E167" i="324"/>
  <c r="E168" i="324"/>
  <c r="E169" i="324"/>
  <c r="E170" i="324"/>
  <c r="E171" i="324"/>
  <c r="E173" i="324"/>
  <c r="E174" i="324"/>
  <c r="E175" i="324"/>
  <c r="E176" i="324"/>
  <c r="E177" i="324"/>
  <c r="E178" i="324"/>
  <c r="E179" i="324"/>
  <c r="E181" i="324"/>
  <c r="E182" i="324"/>
  <c r="E184" i="324"/>
  <c r="E185" i="324"/>
  <c r="E186" i="324"/>
  <c r="E187" i="324"/>
  <c r="E188" i="324"/>
  <c r="E189" i="324"/>
  <c r="E190" i="324"/>
  <c r="E191" i="324"/>
  <c r="E192" i="324"/>
  <c r="E193" i="324"/>
  <c r="E194" i="324"/>
  <c r="E195" i="324"/>
  <c r="E196" i="324"/>
  <c r="E198" i="324"/>
  <c r="E199" i="324"/>
  <c r="E197" i="324" s="1"/>
  <c r="E35" i="268" s="1"/>
  <c r="E201" i="324"/>
  <c r="E202" i="324"/>
  <c r="E203" i="324"/>
  <c r="E204" i="324"/>
  <c r="E205" i="324"/>
  <c r="E206" i="324"/>
  <c r="E207" i="324"/>
  <c r="E208" i="324"/>
  <c r="E209" i="324"/>
  <c r="E210" i="324"/>
  <c r="E211" i="324"/>
  <c r="E212" i="324"/>
  <c r="E213" i="324"/>
  <c r="E215" i="324"/>
  <c r="E214" i="324"/>
  <c r="E37" i="268"/>
  <c r="E217" i="324"/>
  <c r="E216" i="324" s="1"/>
  <c r="E38" i="268" s="1"/>
  <c r="E218" i="324"/>
  <c r="F8" i="324"/>
  <c r="F9" i="324"/>
  <c r="F10" i="324"/>
  <c r="F11" i="324"/>
  <c r="F12" i="324"/>
  <c r="F13" i="324"/>
  <c r="F14" i="324"/>
  <c r="F15" i="324"/>
  <c r="F16" i="324"/>
  <c r="F17" i="324"/>
  <c r="F18" i="324"/>
  <c r="F19" i="324"/>
  <c r="F21" i="324"/>
  <c r="F22" i="324"/>
  <c r="F23" i="324"/>
  <c r="F24" i="324"/>
  <c r="F25" i="324"/>
  <c r="F26" i="324"/>
  <c r="F27" i="324"/>
  <c r="F29" i="324"/>
  <c r="F28" i="324" s="1"/>
  <c r="F8" i="268" s="1"/>
  <c r="F30" i="324"/>
  <c r="F31" i="324"/>
  <c r="F32" i="324"/>
  <c r="F34" i="324"/>
  <c r="F35" i="324"/>
  <c r="F36" i="324"/>
  <c r="F37" i="324"/>
  <c r="F38" i="324"/>
  <c r="F39" i="324"/>
  <c r="F40" i="324"/>
  <c r="F41" i="324"/>
  <c r="F42" i="324"/>
  <c r="F43" i="324"/>
  <c r="F44" i="324"/>
  <c r="F45" i="324"/>
  <c r="F46" i="324"/>
  <c r="F48" i="324"/>
  <c r="F49" i="324"/>
  <c r="F50" i="324"/>
  <c r="F52" i="324"/>
  <c r="F51" i="324" s="1"/>
  <c r="F11" i="268" s="1"/>
  <c r="F54" i="324"/>
  <c r="F55" i="324"/>
  <c r="F56" i="324"/>
  <c r="F57" i="324"/>
  <c r="F59" i="324"/>
  <c r="F60" i="324"/>
  <c r="F61" i="324"/>
  <c r="F62" i="324"/>
  <c r="F63" i="324"/>
  <c r="F65" i="324"/>
  <c r="F66" i="324"/>
  <c r="F67" i="324"/>
  <c r="F68" i="324"/>
  <c r="F69" i="324"/>
  <c r="F70" i="324"/>
  <c r="F71" i="324"/>
  <c r="F73" i="324"/>
  <c r="F74" i="324"/>
  <c r="F76" i="324"/>
  <c r="F77" i="324"/>
  <c r="F78" i="324"/>
  <c r="F79" i="324"/>
  <c r="F80" i="324"/>
  <c r="F81" i="324"/>
  <c r="F82" i="324"/>
  <c r="F83" i="324"/>
  <c r="F84" i="324"/>
  <c r="F85" i="324"/>
  <c r="F86" i="324"/>
  <c r="F87" i="324"/>
  <c r="F88" i="324"/>
  <c r="F90" i="324"/>
  <c r="F89" i="324" s="1"/>
  <c r="F17" i="268" s="1"/>
  <c r="F91" i="324"/>
  <c r="F93" i="324"/>
  <c r="F94" i="324"/>
  <c r="F95" i="324"/>
  <c r="F96" i="324"/>
  <c r="F97" i="324"/>
  <c r="F98" i="324"/>
  <c r="F99" i="324"/>
  <c r="F100" i="324"/>
  <c r="F101" i="324"/>
  <c r="F102" i="324"/>
  <c r="F103" i="324"/>
  <c r="F104" i="324"/>
  <c r="F105" i="324"/>
  <c r="F107" i="324"/>
  <c r="F106" i="324"/>
  <c r="F19" i="268" s="1"/>
  <c r="F109" i="324"/>
  <c r="F110" i="324"/>
  <c r="F116" i="324"/>
  <c r="F117" i="324"/>
  <c r="F118" i="324"/>
  <c r="F119" i="324"/>
  <c r="F120" i="324"/>
  <c r="F121" i="324"/>
  <c r="F122" i="324"/>
  <c r="F123" i="324"/>
  <c r="F124" i="324"/>
  <c r="F125" i="324"/>
  <c r="F129" i="324"/>
  <c r="F130" i="324"/>
  <c r="F131" i="324"/>
  <c r="F132" i="324"/>
  <c r="F133" i="324"/>
  <c r="F134" i="324"/>
  <c r="F135" i="324"/>
  <c r="F137" i="324"/>
  <c r="F136" i="324" s="1"/>
  <c r="F26" i="268" s="1"/>
  <c r="F138" i="324"/>
  <c r="F139" i="324"/>
  <c r="F140" i="324"/>
  <c r="F142" i="324"/>
  <c r="F143" i="324"/>
  <c r="F144" i="324"/>
  <c r="F145" i="324"/>
  <c r="F146" i="324"/>
  <c r="F147" i="324"/>
  <c r="F148" i="324"/>
  <c r="F149" i="324"/>
  <c r="F150" i="324"/>
  <c r="F151" i="324"/>
  <c r="F152" i="324"/>
  <c r="F153" i="324"/>
  <c r="F154" i="324"/>
  <c r="F156" i="324"/>
  <c r="F157" i="324"/>
  <c r="F158" i="324"/>
  <c r="F160" i="324"/>
  <c r="F159" i="324" s="1"/>
  <c r="F29" i="268" s="1"/>
  <c r="F162" i="324"/>
  <c r="F163" i="324"/>
  <c r="F164" i="324"/>
  <c r="F165" i="324"/>
  <c r="F167" i="324"/>
  <c r="F168" i="324"/>
  <c r="F169" i="324"/>
  <c r="F170" i="324"/>
  <c r="F171" i="324"/>
  <c r="F173" i="324"/>
  <c r="F174" i="324"/>
  <c r="F175" i="324"/>
  <c r="F176" i="324"/>
  <c r="F177" i="324"/>
  <c r="F178" i="324"/>
  <c r="F179" i="324"/>
  <c r="F181" i="324"/>
  <c r="F180" i="324" s="1"/>
  <c r="F33" i="268" s="1"/>
  <c r="F182" i="324"/>
  <c r="F184" i="324"/>
  <c r="F185" i="324"/>
  <c r="F186" i="324"/>
  <c r="F187" i="324"/>
  <c r="F188" i="324"/>
  <c r="F189" i="324"/>
  <c r="F190" i="324"/>
  <c r="F191" i="324"/>
  <c r="F192" i="324"/>
  <c r="F193" i="324"/>
  <c r="F194" i="324"/>
  <c r="F195" i="324"/>
  <c r="F196" i="324"/>
  <c r="F198" i="324"/>
  <c r="F197" i="324" s="1"/>
  <c r="F35" i="268" s="1"/>
  <c r="F199" i="324"/>
  <c r="F201" i="324"/>
  <c r="F202" i="324"/>
  <c r="F203" i="324"/>
  <c r="F204" i="324"/>
  <c r="F205" i="324"/>
  <c r="F206" i="324"/>
  <c r="F207" i="324"/>
  <c r="F208" i="324"/>
  <c r="F209" i="324"/>
  <c r="F210" i="324"/>
  <c r="F211" i="324"/>
  <c r="F212" i="324"/>
  <c r="F213" i="324"/>
  <c r="F215" i="324"/>
  <c r="F214" i="324"/>
  <c r="F37" i="268" s="1"/>
  <c r="F217" i="324"/>
  <c r="F218" i="324"/>
  <c r="F216" i="324" s="1"/>
  <c r="F38" i="268" s="1"/>
  <c r="G8" i="324"/>
  <c r="H8" i="324"/>
  <c r="G9" i="324"/>
  <c r="G10" i="324"/>
  <c r="H10" i="324"/>
  <c r="I10" i="324"/>
  <c r="G11" i="324"/>
  <c r="H11" i="324"/>
  <c r="G12" i="324"/>
  <c r="H12" i="324"/>
  <c r="G13" i="324"/>
  <c r="H13" i="324"/>
  <c r="I13" i="324"/>
  <c r="G14" i="324"/>
  <c r="H14" i="324"/>
  <c r="G15" i="324"/>
  <c r="H15" i="324"/>
  <c r="G16" i="324"/>
  <c r="H16" i="324"/>
  <c r="I16" i="324" s="1"/>
  <c r="J16" i="324"/>
  <c r="G17" i="324"/>
  <c r="H17" i="324"/>
  <c r="J17" i="324"/>
  <c r="G18" i="324"/>
  <c r="H18" i="324"/>
  <c r="H9" i="324"/>
  <c r="H19" i="324"/>
  <c r="J18" i="324"/>
  <c r="G19" i="324"/>
  <c r="J19" i="324"/>
  <c r="G21" i="324"/>
  <c r="H21" i="324"/>
  <c r="J21" i="324"/>
  <c r="G22" i="324"/>
  <c r="G23" i="324"/>
  <c r="G24" i="324"/>
  <c r="G25" i="324"/>
  <c r="G26" i="324"/>
  <c r="H26" i="324"/>
  <c r="G27" i="324"/>
  <c r="H27" i="324"/>
  <c r="I27" i="324" s="1"/>
  <c r="J27" i="324"/>
  <c r="H22" i="324"/>
  <c r="H24" i="324"/>
  <c r="G29" i="324"/>
  <c r="G30" i="324"/>
  <c r="I30" i="324" s="1"/>
  <c r="H30" i="324"/>
  <c r="J30" i="324"/>
  <c r="G31" i="324"/>
  <c r="G32" i="324"/>
  <c r="H32" i="324"/>
  <c r="J32" i="324" s="1"/>
  <c r="I32" i="324"/>
  <c r="H31" i="324"/>
  <c r="H29" i="324"/>
  <c r="G34" i="324"/>
  <c r="H34" i="324"/>
  <c r="J34" i="324" s="1"/>
  <c r="I34" i="324"/>
  <c r="G35" i="324"/>
  <c r="H35" i="324"/>
  <c r="G36" i="324"/>
  <c r="H36" i="324"/>
  <c r="I36" i="324" s="1"/>
  <c r="G37" i="324"/>
  <c r="H37" i="324"/>
  <c r="G38" i="324"/>
  <c r="G39" i="324"/>
  <c r="H39" i="324"/>
  <c r="J39" i="324"/>
  <c r="G40" i="324"/>
  <c r="G41" i="324"/>
  <c r="H41" i="324"/>
  <c r="G42" i="324"/>
  <c r="I42" i="324" s="1"/>
  <c r="H42" i="324"/>
  <c r="G43" i="324"/>
  <c r="H43" i="324"/>
  <c r="J43" i="324"/>
  <c r="I43" i="324"/>
  <c r="G44" i="324"/>
  <c r="H44" i="324"/>
  <c r="I44" i="324"/>
  <c r="G45" i="324"/>
  <c r="G46" i="324"/>
  <c r="H46" i="324"/>
  <c r="I46" i="324"/>
  <c r="H40" i="324"/>
  <c r="H45" i="324"/>
  <c r="G48" i="324"/>
  <c r="H48" i="324"/>
  <c r="G49" i="324"/>
  <c r="H49" i="324"/>
  <c r="J49" i="324"/>
  <c r="G50" i="324"/>
  <c r="H50" i="324"/>
  <c r="G52" i="324"/>
  <c r="G51" i="324" s="1"/>
  <c r="H52" i="324"/>
  <c r="H51" i="324" s="1"/>
  <c r="G54" i="324"/>
  <c r="H54" i="324"/>
  <c r="I54" i="324"/>
  <c r="G55" i="324"/>
  <c r="H55" i="324"/>
  <c r="G56" i="324"/>
  <c r="G57" i="324"/>
  <c r="H57" i="324"/>
  <c r="J57" i="324" s="1"/>
  <c r="G59" i="324"/>
  <c r="I59" i="324" s="1"/>
  <c r="H59" i="324"/>
  <c r="G60" i="324"/>
  <c r="H60" i="324"/>
  <c r="I60" i="324"/>
  <c r="G61" i="324"/>
  <c r="H61" i="324"/>
  <c r="J61" i="324" s="1"/>
  <c r="G62" i="324"/>
  <c r="H62" i="324"/>
  <c r="I62" i="324"/>
  <c r="G63" i="324"/>
  <c r="H63" i="324"/>
  <c r="J63" i="324" s="1"/>
  <c r="G65" i="324"/>
  <c r="H65" i="324"/>
  <c r="G66" i="324"/>
  <c r="H66" i="324"/>
  <c r="I66" i="324" s="1"/>
  <c r="G67" i="324"/>
  <c r="G68" i="324"/>
  <c r="G69" i="324"/>
  <c r="H69" i="324"/>
  <c r="G70" i="324"/>
  <c r="I70" i="324" s="1"/>
  <c r="H70" i="324"/>
  <c r="G71" i="324"/>
  <c r="H71" i="324"/>
  <c r="I71" i="324"/>
  <c r="H67" i="324"/>
  <c r="H68" i="324"/>
  <c r="G73" i="324"/>
  <c r="H73" i="324"/>
  <c r="G74" i="324"/>
  <c r="H74" i="324"/>
  <c r="G76" i="324"/>
  <c r="G77" i="324"/>
  <c r="H77" i="324"/>
  <c r="G78" i="324"/>
  <c r="H78" i="324"/>
  <c r="G79" i="324"/>
  <c r="G80" i="324"/>
  <c r="H80" i="324"/>
  <c r="G81" i="324"/>
  <c r="H81" i="324"/>
  <c r="G82" i="324"/>
  <c r="I82" i="324" s="1"/>
  <c r="H82" i="324"/>
  <c r="G83" i="324"/>
  <c r="G84" i="324"/>
  <c r="H84" i="324"/>
  <c r="J84" i="324" s="1"/>
  <c r="G85" i="324"/>
  <c r="H85" i="324"/>
  <c r="J85" i="324"/>
  <c r="G86" i="324"/>
  <c r="H86" i="324"/>
  <c r="H76" i="324"/>
  <c r="H79" i="324"/>
  <c r="H83" i="324"/>
  <c r="H87" i="324"/>
  <c r="H88" i="324"/>
  <c r="G88" i="324"/>
  <c r="I88" i="324" s="1"/>
  <c r="G87" i="324"/>
  <c r="G90" i="324"/>
  <c r="G91" i="324"/>
  <c r="H91" i="324"/>
  <c r="G93" i="324"/>
  <c r="H93" i="324"/>
  <c r="J93" i="324"/>
  <c r="G94" i="324"/>
  <c r="H94" i="324"/>
  <c r="I94" i="324" s="1"/>
  <c r="G95" i="324"/>
  <c r="H95" i="324"/>
  <c r="J95" i="324"/>
  <c r="G96" i="324"/>
  <c r="I96" i="324" s="1"/>
  <c r="H96" i="324"/>
  <c r="J96" i="324" s="1"/>
  <c r="G97" i="324"/>
  <c r="G98" i="324"/>
  <c r="G99" i="324"/>
  <c r="G100" i="324"/>
  <c r="H100" i="324"/>
  <c r="G101" i="324"/>
  <c r="H101" i="324"/>
  <c r="J101" i="324" s="1"/>
  <c r="G102" i="324"/>
  <c r="I102" i="324" s="1"/>
  <c r="H102" i="324"/>
  <c r="J102" i="324"/>
  <c r="G103" i="324"/>
  <c r="G104" i="324"/>
  <c r="H104" i="324"/>
  <c r="G105" i="324"/>
  <c r="I105" i="324" s="1"/>
  <c r="H105" i="324"/>
  <c r="J105" i="324"/>
  <c r="H97" i="324"/>
  <c r="H98" i="324"/>
  <c r="H99" i="324"/>
  <c r="H103" i="324"/>
  <c r="G107" i="324"/>
  <c r="H107" i="324"/>
  <c r="J107" i="324"/>
  <c r="G109" i="324"/>
  <c r="G110" i="324"/>
  <c r="G108" i="324"/>
  <c r="H109" i="324"/>
  <c r="H108" i="324" s="1"/>
  <c r="H110" i="324"/>
  <c r="G116" i="324"/>
  <c r="H116" i="324"/>
  <c r="G117" i="324"/>
  <c r="H117" i="324"/>
  <c r="J117" i="324"/>
  <c r="G118" i="324"/>
  <c r="H118" i="324"/>
  <c r="J118" i="324"/>
  <c r="G119" i="324"/>
  <c r="H119" i="324"/>
  <c r="G120" i="324"/>
  <c r="H120" i="324"/>
  <c r="H121" i="324"/>
  <c r="H122" i="324"/>
  <c r="J122" i="324" s="1"/>
  <c r="H123" i="324"/>
  <c r="J123" i="324"/>
  <c r="H124" i="324"/>
  <c r="H125" i="324"/>
  <c r="G121" i="324"/>
  <c r="G122" i="324"/>
  <c r="G123" i="324"/>
  <c r="G124" i="324"/>
  <c r="I124" i="324"/>
  <c r="G125" i="324"/>
  <c r="G129" i="324"/>
  <c r="H129" i="324"/>
  <c r="G130" i="324"/>
  <c r="H130" i="324"/>
  <c r="I130" i="324"/>
  <c r="G131" i="324"/>
  <c r="H131" i="324"/>
  <c r="J131" i="324" s="1"/>
  <c r="G132" i="324"/>
  <c r="G133" i="324"/>
  <c r="H133" i="324"/>
  <c r="G134" i="324"/>
  <c r="H134" i="324"/>
  <c r="J134" i="324" s="1"/>
  <c r="G135" i="324"/>
  <c r="I135" i="324" s="1"/>
  <c r="H135" i="324"/>
  <c r="H132" i="324"/>
  <c r="J132" i="324" s="1"/>
  <c r="G137" i="324"/>
  <c r="I137" i="324" s="1"/>
  <c r="H137" i="324"/>
  <c r="G138" i="324"/>
  <c r="H138" i="324"/>
  <c r="G139" i="324"/>
  <c r="G140" i="324"/>
  <c r="H139" i="324"/>
  <c r="H140" i="324"/>
  <c r="J140" i="324" s="1"/>
  <c r="G142" i="324"/>
  <c r="G143" i="324"/>
  <c r="H143" i="324"/>
  <c r="J143" i="324" s="1"/>
  <c r="G144" i="324"/>
  <c r="H144" i="324"/>
  <c r="G145" i="324"/>
  <c r="G141" i="324" s="1"/>
  <c r="G27" i="268" s="1"/>
  <c r="H145" i="324"/>
  <c r="G146" i="324"/>
  <c r="G147" i="324"/>
  <c r="G148" i="324"/>
  <c r="G149" i="324"/>
  <c r="G150" i="324"/>
  <c r="G151" i="324"/>
  <c r="G152" i="324"/>
  <c r="G153" i="324"/>
  <c r="G154" i="324"/>
  <c r="H146" i="324"/>
  <c r="H147" i="324"/>
  <c r="H148" i="324"/>
  <c r="H152" i="324"/>
  <c r="H153" i="324"/>
  <c r="H154" i="324"/>
  <c r="J154" i="324" s="1"/>
  <c r="G156" i="324"/>
  <c r="G157" i="324"/>
  <c r="H157" i="324"/>
  <c r="G158" i="324"/>
  <c r="I158" i="324" s="1"/>
  <c r="H158" i="324"/>
  <c r="G160" i="324"/>
  <c r="G159" i="324" s="1"/>
  <c r="H160" i="324"/>
  <c r="G162" i="324"/>
  <c r="H162" i="324"/>
  <c r="H161" i="324" s="1"/>
  <c r="H30" i="268" s="1"/>
  <c r="I162" i="324"/>
  <c r="H163" i="324"/>
  <c r="H164" i="324"/>
  <c r="J164" i="324"/>
  <c r="H165" i="324"/>
  <c r="G163" i="324"/>
  <c r="G164" i="324"/>
  <c r="I164" i="324"/>
  <c r="G165" i="324"/>
  <c r="G167" i="324"/>
  <c r="G168" i="324"/>
  <c r="H168" i="324"/>
  <c r="G169" i="324"/>
  <c r="G170" i="324"/>
  <c r="H170" i="324"/>
  <c r="I170" i="324"/>
  <c r="G171" i="324"/>
  <c r="H171" i="324"/>
  <c r="H167" i="324"/>
  <c r="J167" i="324"/>
  <c r="H169" i="324"/>
  <c r="G173" i="324"/>
  <c r="H173" i="324"/>
  <c r="G174" i="324"/>
  <c r="G175" i="324"/>
  <c r="G176" i="324"/>
  <c r="G177" i="324"/>
  <c r="G178" i="324"/>
  <c r="G179" i="324"/>
  <c r="H179" i="324"/>
  <c r="H174" i="324"/>
  <c r="H175" i="324"/>
  <c r="H176" i="324"/>
  <c r="H177" i="324"/>
  <c r="J177" i="324" s="1"/>
  <c r="H178" i="324"/>
  <c r="G181" i="324"/>
  <c r="H181" i="324"/>
  <c r="I181" i="324" s="1"/>
  <c r="G182" i="324"/>
  <c r="H182" i="324"/>
  <c r="I182" i="324" s="1"/>
  <c r="G184" i="324"/>
  <c r="H184" i="324"/>
  <c r="J184" i="324" s="1"/>
  <c r="G185" i="324"/>
  <c r="G186" i="324"/>
  <c r="H186" i="324"/>
  <c r="J186" i="324"/>
  <c r="G187" i="324"/>
  <c r="H187" i="324"/>
  <c r="G188" i="324"/>
  <c r="H188" i="324"/>
  <c r="J188" i="324"/>
  <c r="G189" i="324"/>
  <c r="G190" i="324"/>
  <c r="H190" i="324"/>
  <c r="J190" i="324" s="1"/>
  <c r="G191" i="324"/>
  <c r="H191" i="324"/>
  <c r="G192" i="324"/>
  <c r="H192" i="324"/>
  <c r="G193" i="324"/>
  <c r="H193" i="324"/>
  <c r="J193" i="324"/>
  <c r="G194" i="324"/>
  <c r="H194" i="324"/>
  <c r="G195" i="324"/>
  <c r="H195" i="324"/>
  <c r="G196" i="324"/>
  <c r="H196" i="324"/>
  <c r="G198" i="324"/>
  <c r="G199" i="324"/>
  <c r="I199" i="324" s="1"/>
  <c r="H199" i="324"/>
  <c r="J199" i="324" s="1"/>
  <c r="H198" i="324"/>
  <c r="G201" i="324"/>
  <c r="H201" i="324"/>
  <c r="G202" i="324"/>
  <c r="H202" i="324"/>
  <c r="J202" i="324" s="1"/>
  <c r="G203" i="324"/>
  <c r="I203" i="324" s="1"/>
  <c r="H203" i="324"/>
  <c r="G204" i="324"/>
  <c r="H204" i="324"/>
  <c r="G205" i="324"/>
  <c r="G206" i="324"/>
  <c r="H206" i="324"/>
  <c r="J206" i="324" s="1"/>
  <c r="G207" i="324"/>
  <c r="G208" i="324"/>
  <c r="H208" i="324"/>
  <c r="I208" i="324" s="1"/>
  <c r="G209" i="324"/>
  <c r="G210" i="324"/>
  <c r="G211" i="324"/>
  <c r="H211" i="324"/>
  <c r="I211" i="324" s="1"/>
  <c r="G212" i="324"/>
  <c r="H212" i="324"/>
  <c r="G213" i="324"/>
  <c r="H213" i="324"/>
  <c r="H207" i="324"/>
  <c r="H209" i="324"/>
  <c r="J209" i="324" s="1"/>
  <c r="H205" i="324"/>
  <c r="J205" i="324" s="1"/>
  <c r="H210" i="324"/>
  <c r="J210" i="324" s="1"/>
  <c r="G215" i="324"/>
  <c r="G214" i="324" s="1"/>
  <c r="G37" i="268" s="1"/>
  <c r="H215" i="324"/>
  <c r="G217" i="324"/>
  <c r="H217" i="324"/>
  <c r="H218" i="324"/>
  <c r="H216" i="324"/>
  <c r="G218" i="324"/>
  <c r="H23" i="324"/>
  <c r="I23" i="324"/>
  <c r="H25" i="324"/>
  <c r="J25" i="324" s="1"/>
  <c r="H38" i="324"/>
  <c r="J38" i="324"/>
  <c r="H56" i="324"/>
  <c r="H90" i="324"/>
  <c r="J90" i="324" s="1"/>
  <c r="H142" i="324"/>
  <c r="J142" i="324"/>
  <c r="H149" i="324"/>
  <c r="H150" i="324"/>
  <c r="J150" i="324"/>
  <c r="H151" i="324"/>
  <c r="J151" i="324" s="1"/>
  <c r="H156" i="324"/>
  <c r="H185" i="324"/>
  <c r="H189" i="324"/>
  <c r="K8" i="324"/>
  <c r="K9" i="324"/>
  <c r="K10" i="324"/>
  <c r="K11" i="324"/>
  <c r="K12" i="324"/>
  <c r="K13" i="324"/>
  <c r="K14" i="324"/>
  <c r="K15" i="324"/>
  <c r="K16" i="324"/>
  <c r="K17" i="324"/>
  <c r="K18" i="324"/>
  <c r="K19" i="324"/>
  <c r="K21" i="324"/>
  <c r="K22" i="324"/>
  <c r="K23" i="324"/>
  <c r="K24" i="324"/>
  <c r="K25" i="324"/>
  <c r="K26" i="324"/>
  <c r="K27" i="324"/>
  <c r="K29" i="324"/>
  <c r="K30" i="324"/>
  <c r="K31" i="324"/>
  <c r="K32" i="324"/>
  <c r="K28" i="324"/>
  <c r="K34" i="324"/>
  <c r="K35" i="324"/>
  <c r="K36" i="324"/>
  <c r="K37" i="324"/>
  <c r="K38" i="324"/>
  <c r="K39" i="324"/>
  <c r="K40" i="324"/>
  <c r="K41" i="324"/>
  <c r="K42" i="324"/>
  <c r="K43" i="324"/>
  <c r="K44" i="324"/>
  <c r="K45" i="324"/>
  <c r="K46" i="324"/>
  <c r="K48" i="324"/>
  <c r="K49" i="324"/>
  <c r="K50" i="324"/>
  <c r="K52" i="324"/>
  <c r="K51" i="324"/>
  <c r="K11" i="268"/>
  <c r="K54" i="324"/>
  <c r="K55" i="324"/>
  <c r="K56" i="324"/>
  <c r="K57" i="324"/>
  <c r="K59" i="324"/>
  <c r="K60" i="324"/>
  <c r="K61" i="324"/>
  <c r="K62" i="324"/>
  <c r="K63" i="324"/>
  <c r="K65" i="324"/>
  <c r="K66" i="324"/>
  <c r="K67" i="324"/>
  <c r="K68" i="324"/>
  <c r="K69" i="324"/>
  <c r="K70" i="324"/>
  <c r="K71" i="324"/>
  <c r="K73" i="324"/>
  <c r="K74" i="324"/>
  <c r="K76" i="324"/>
  <c r="K77" i="324"/>
  <c r="K78" i="324"/>
  <c r="K79" i="324"/>
  <c r="K80" i="324"/>
  <c r="K81" i="324"/>
  <c r="K82" i="324"/>
  <c r="K83" i="324"/>
  <c r="K84" i="324"/>
  <c r="K85" i="324"/>
  <c r="K86" i="324"/>
  <c r="K87" i="324"/>
  <c r="K88" i="324"/>
  <c r="K90" i="324"/>
  <c r="K91" i="324"/>
  <c r="K93" i="324"/>
  <c r="K94" i="324"/>
  <c r="K95" i="324"/>
  <c r="K96" i="324"/>
  <c r="K97" i="324"/>
  <c r="K98" i="324"/>
  <c r="K99" i="324"/>
  <c r="K100" i="324"/>
  <c r="K101" i="324"/>
  <c r="K102" i="324"/>
  <c r="K103" i="324"/>
  <c r="K104" i="324"/>
  <c r="K105" i="324"/>
  <c r="K107" i="324"/>
  <c r="K106" i="324" s="1"/>
  <c r="K19" i="268"/>
  <c r="K109" i="324"/>
  <c r="K110" i="324"/>
  <c r="K116" i="324"/>
  <c r="K117" i="324"/>
  <c r="K118" i="324"/>
  <c r="K119" i="324"/>
  <c r="K120" i="324"/>
  <c r="K121" i="324"/>
  <c r="K122" i="324"/>
  <c r="K123" i="324"/>
  <c r="K124" i="324"/>
  <c r="K125" i="324"/>
  <c r="K129" i="324"/>
  <c r="K130" i="324"/>
  <c r="K131" i="324"/>
  <c r="K132" i="324"/>
  <c r="K133" i="324"/>
  <c r="K134" i="324"/>
  <c r="K135" i="324"/>
  <c r="K137" i="324"/>
  <c r="K138" i="324"/>
  <c r="K139" i="324"/>
  <c r="K140" i="324"/>
  <c r="K142" i="324"/>
  <c r="K143" i="324"/>
  <c r="K144" i="324"/>
  <c r="K145" i="324"/>
  <c r="K146" i="324"/>
  <c r="K147" i="324"/>
  <c r="K148" i="324"/>
  <c r="K149" i="324"/>
  <c r="K150" i="324"/>
  <c r="K151" i="324"/>
  <c r="K152" i="324"/>
  <c r="K153" i="324"/>
  <c r="K154" i="324"/>
  <c r="K156" i="324"/>
  <c r="K157" i="324"/>
  <c r="K158" i="324"/>
  <c r="K160" i="324"/>
  <c r="K159" i="324"/>
  <c r="K29" i="268" s="1"/>
  <c r="K162" i="324"/>
  <c r="K163" i="324"/>
  <c r="K164" i="324"/>
  <c r="K161" i="324" s="1"/>
  <c r="K165" i="324"/>
  <c r="K167" i="324"/>
  <c r="K168" i="324"/>
  <c r="K169" i="324"/>
  <c r="K170" i="324"/>
  <c r="K171" i="324"/>
  <c r="K173" i="324"/>
  <c r="K174" i="324"/>
  <c r="K175" i="324"/>
  <c r="K176" i="324"/>
  <c r="K177" i="324"/>
  <c r="K178" i="324"/>
  <c r="K179" i="324"/>
  <c r="K181" i="324"/>
  <c r="K182" i="324"/>
  <c r="K184" i="324"/>
  <c r="K185" i="324"/>
  <c r="K186" i="324"/>
  <c r="K187" i="324"/>
  <c r="K188" i="324"/>
  <c r="K189" i="324"/>
  <c r="K190" i="324"/>
  <c r="K191" i="324"/>
  <c r="K192" i="324"/>
  <c r="K193" i="324"/>
  <c r="K194" i="324"/>
  <c r="K195" i="324"/>
  <c r="K196" i="324"/>
  <c r="K198" i="324"/>
  <c r="K199" i="324"/>
  <c r="K201" i="324"/>
  <c r="K202" i="324"/>
  <c r="K203" i="324"/>
  <c r="K204" i="324"/>
  <c r="K205" i="324"/>
  <c r="K206" i="324"/>
  <c r="K207" i="324"/>
  <c r="K208" i="324"/>
  <c r="K209" i="324"/>
  <c r="K210" i="324"/>
  <c r="K211" i="324"/>
  <c r="K212" i="324"/>
  <c r="K213" i="324"/>
  <c r="K215" i="324"/>
  <c r="K214" i="324"/>
  <c r="K37" i="268" s="1"/>
  <c r="K217" i="324"/>
  <c r="K216" i="324" s="1"/>
  <c r="K38" i="268" s="1"/>
  <c r="K218" i="324"/>
  <c r="D44" i="268"/>
  <c r="D45" i="268"/>
  <c r="D46" i="268"/>
  <c r="D48" i="268"/>
  <c r="D49" i="268"/>
  <c r="D50" i="268"/>
  <c r="D51" i="268"/>
  <c r="D52" i="268"/>
  <c r="D54" i="268"/>
  <c r="D55" i="268"/>
  <c r="D56" i="268"/>
  <c r="D58" i="268"/>
  <c r="D59" i="268"/>
  <c r="D60" i="268"/>
  <c r="D61" i="268"/>
  <c r="D62" i="268"/>
  <c r="E44" i="268"/>
  <c r="E45" i="268"/>
  <c r="E46" i="268"/>
  <c r="E48" i="268"/>
  <c r="E49" i="268"/>
  <c r="E50" i="268"/>
  <c r="E51" i="268"/>
  <c r="E52" i="268"/>
  <c r="E54" i="268"/>
  <c r="E55" i="268"/>
  <c r="E56" i="268"/>
  <c r="E58" i="268"/>
  <c r="E59" i="268"/>
  <c r="E60" i="268"/>
  <c r="E61" i="268"/>
  <c r="E62" i="268"/>
  <c r="F44" i="268"/>
  <c r="F45" i="268"/>
  <c r="F46" i="268"/>
  <c r="F48" i="268"/>
  <c r="F49" i="268"/>
  <c r="F50" i="268"/>
  <c r="F51" i="268"/>
  <c r="F52" i="268"/>
  <c r="F54" i="268"/>
  <c r="F55" i="268"/>
  <c r="F56" i="268"/>
  <c r="F58" i="268"/>
  <c r="F59" i="268"/>
  <c r="F60" i="268"/>
  <c r="F61" i="268"/>
  <c r="F62" i="268"/>
  <c r="G44" i="268"/>
  <c r="H44" i="268"/>
  <c r="G45" i="268"/>
  <c r="G46" i="268"/>
  <c r="H46" i="268"/>
  <c r="J46" i="268" s="1"/>
  <c r="I46" i="268"/>
  <c r="G48" i="268"/>
  <c r="G49" i="268"/>
  <c r="H49" i="268"/>
  <c r="G50" i="268"/>
  <c r="I50" i="268" s="1"/>
  <c r="H50" i="268"/>
  <c r="G51" i="268"/>
  <c r="G52" i="268"/>
  <c r="H51" i="268"/>
  <c r="H48" i="268"/>
  <c r="G54" i="268"/>
  <c r="G55" i="268"/>
  <c r="G56" i="268"/>
  <c r="I56" i="268" s="1"/>
  <c r="H56" i="268"/>
  <c r="G58" i="268"/>
  <c r="G59" i="268"/>
  <c r="H59" i="268"/>
  <c r="I59" i="268"/>
  <c r="J59" i="268" s="1"/>
  <c r="G60" i="268"/>
  <c r="H60" i="268"/>
  <c r="H57" i="268" s="1"/>
  <c r="G61" i="268"/>
  <c r="H58" i="268"/>
  <c r="H61" i="268"/>
  <c r="G62" i="268"/>
  <c r="H62" i="268"/>
  <c r="I62" i="268" s="1"/>
  <c r="H45" i="268"/>
  <c r="H52" i="268"/>
  <c r="H54" i="268"/>
  <c r="H55" i="268"/>
  <c r="K44" i="268"/>
  <c r="K45" i="268"/>
  <c r="K46" i="268"/>
  <c r="K43" i="268" s="1"/>
  <c r="K48" i="268"/>
  <c r="K49" i="268"/>
  <c r="K50" i="268"/>
  <c r="K51" i="268"/>
  <c r="K52" i="268"/>
  <c r="K54" i="268"/>
  <c r="K55" i="268"/>
  <c r="K56" i="268"/>
  <c r="K58" i="268"/>
  <c r="K59" i="268"/>
  <c r="K60" i="268"/>
  <c r="K61" i="268"/>
  <c r="K62" i="268"/>
  <c r="D66" i="268"/>
  <c r="D67" i="268"/>
  <c r="D69" i="268"/>
  <c r="D72" i="268"/>
  <c r="D73" i="268"/>
  <c r="E66" i="268"/>
  <c r="E67" i="268"/>
  <c r="E69" i="268"/>
  <c r="E72" i="268"/>
  <c r="F47" i="174"/>
  <c r="E73" i="268"/>
  <c r="D32" i="267" s="1"/>
  <c r="F66" i="268"/>
  <c r="F67" i="268"/>
  <c r="F69" i="268"/>
  <c r="F72" i="268"/>
  <c r="E31" i="267"/>
  <c r="F73" i="268"/>
  <c r="E32" i="267"/>
  <c r="G66" i="268"/>
  <c r="G67" i="268"/>
  <c r="H67" i="268"/>
  <c r="G69" i="268"/>
  <c r="H69" i="268"/>
  <c r="G72" i="268"/>
  <c r="F31" i="267"/>
  <c r="H72" i="268"/>
  <c r="G31" i="267" s="1"/>
  <c r="H31" i="267" s="1"/>
  <c r="G73" i="268"/>
  <c r="H73" i="268"/>
  <c r="H66" i="268"/>
  <c r="K66" i="268"/>
  <c r="K67" i="268"/>
  <c r="K69" i="268"/>
  <c r="K70" i="268"/>
  <c r="K72" i="268"/>
  <c r="H47" i="174"/>
  <c r="K73" i="268"/>
  <c r="J32" i="267"/>
  <c r="F43" i="178"/>
  <c r="F40" i="178"/>
  <c r="F41" i="178"/>
  <c r="D43" i="178"/>
  <c r="D40" i="178"/>
  <c r="D41" i="178"/>
  <c r="F22" i="178"/>
  <c r="F23" i="178"/>
  <c r="F24" i="178"/>
  <c r="F25" i="178"/>
  <c r="F21" i="178"/>
  <c r="D22" i="178"/>
  <c r="D16" i="178"/>
  <c r="D30" i="178"/>
  <c r="D17" i="178"/>
  <c r="D19" i="178"/>
  <c r="D21" i="178"/>
  <c r="D23" i="178"/>
  <c r="D24" i="178"/>
  <c r="D25" i="178"/>
  <c r="G115" i="323"/>
  <c r="H115" i="323"/>
  <c r="G116" i="323"/>
  <c r="I116" i="323" s="1"/>
  <c r="H116" i="323"/>
  <c r="G117" i="323"/>
  <c r="H117" i="323"/>
  <c r="G118" i="323"/>
  <c r="H118" i="323"/>
  <c r="G119" i="323"/>
  <c r="H119" i="323"/>
  <c r="I119" i="323"/>
  <c r="G120" i="323"/>
  <c r="H120" i="323"/>
  <c r="G121" i="323"/>
  <c r="H121" i="323"/>
  <c r="G122" i="323"/>
  <c r="I122" i="323" s="1"/>
  <c r="H122" i="323"/>
  <c r="G123" i="323"/>
  <c r="G124" i="323"/>
  <c r="I124" i="323" s="1"/>
  <c r="H124" i="323"/>
  <c r="G125" i="323"/>
  <c r="G126" i="323"/>
  <c r="H126" i="323"/>
  <c r="I126" i="323"/>
  <c r="G127" i="323"/>
  <c r="H123" i="323"/>
  <c r="H125" i="323"/>
  <c r="H127" i="323"/>
  <c r="G129" i="323"/>
  <c r="G130" i="323"/>
  <c r="H130" i="323"/>
  <c r="I130" i="323"/>
  <c r="G131" i="323"/>
  <c r="H131" i="323"/>
  <c r="G132" i="323"/>
  <c r="G133" i="323"/>
  <c r="H133" i="323"/>
  <c r="G134" i="323"/>
  <c r="H134" i="323"/>
  <c r="I134" i="323"/>
  <c r="G135" i="323"/>
  <c r="H129" i="323"/>
  <c r="H132" i="323"/>
  <c r="H135" i="323"/>
  <c r="G137" i="323"/>
  <c r="H137" i="323"/>
  <c r="H136" i="323" s="1"/>
  <c r="G138" i="323"/>
  <c r="I138" i="323" s="1"/>
  <c r="H138" i="323"/>
  <c r="G139" i="323"/>
  <c r="H139" i="323"/>
  <c r="H140" i="323"/>
  <c r="G140" i="323"/>
  <c r="I140" i="323"/>
  <c r="G142" i="323"/>
  <c r="G143" i="323"/>
  <c r="G144" i="323"/>
  <c r="G145" i="323"/>
  <c r="G146" i="323"/>
  <c r="H146" i="323"/>
  <c r="I146" i="323" s="1"/>
  <c r="J146" i="323" s="1"/>
  <c r="G147" i="323"/>
  <c r="I147" i="323" s="1"/>
  <c r="J147" i="323" s="1"/>
  <c r="H147" i="323"/>
  <c r="G148" i="323"/>
  <c r="G149" i="323"/>
  <c r="H149" i="323"/>
  <c r="G150" i="323"/>
  <c r="G151" i="323"/>
  <c r="H151" i="323"/>
  <c r="G152" i="323"/>
  <c r="H152" i="323"/>
  <c r="G153" i="323"/>
  <c r="G154" i="323"/>
  <c r="H154" i="323"/>
  <c r="H142" i="323"/>
  <c r="H148" i="323"/>
  <c r="H150" i="323"/>
  <c r="J150" i="323" s="1"/>
  <c r="G156" i="323"/>
  <c r="G157" i="323"/>
  <c r="G158" i="323"/>
  <c r="H158" i="323"/>
  <c r="I158" i="323"/>
  <c r="G160" i="323"/>
  <c r="H160" i="323"/>
  <c r="H159" i="323"/>
  <c r="G162" i="323"/>
  <c r="H162" i="323"/>
  <c r="G163" i="323"/>
  <c r="G164" i="323"/>
  <c r="G165" i="323"/>
  <c r="H165" i="323"/>
  <c r="G167" i="323"/>
  <c r="H167" i="323"/>
  <c r="G168" i="323"/>
  <c r="H168" i="323"/>
  <c r="G169" i="323"/>
  <c r="G170" i="323"/>
  <c r="G171" i="323"/>
  <c r="H171" i="323"/>
  <c r="G173" i="323"/>
  <c r="I173" i="323" s="1"/>
  <c r="H173" i="323"/>
  <c r="G174" i="323"/>
  <c r="G175" i="323"/>
  <c r="G176" i="323"/>
  <c r="G177" i="323"/>
  <c r="G178" i="323"/>
  <c r="H178" i="323"/>
  <c r="G179" i="323"/>
  <c r="H179" i="323"/>
  <c r="H175" i="323"/>
  <c r="H176" i="323"/>
  <c r="H177" i="323"/>
  <c r="G181" i="323"/>
  <c r="G182" i="323"/>
  <c r="H182" i="323"/>
  <c r="G184" i="323"/>
  <c r="G185" i="323"/>
  <c r="I185" i="323" s="1"/>
  <c r="H185" i="323"/>
  <c r="G186" i="323"/>
  <c r="H186" i="323"/>
  <c r="G187" i="323"/>
  <c r="G188" i="323"/>
  <c r="H188" i="323"/>
  <c r="I188" i="323"/>
  <c r="G189" i="323"/>
  <c r="H189" i="323"/>
  <c r="G190" i="323"/>
  <c r="I190" i="323" s="1"/>
  <c r="H190" i="323"/>
  <c r="G191" i="323"/>
  <c r="G192" i="323"/>
  <c r="H192" i="323"/>
  <c r="G193" i="323"/>
  <c r="G194" i="323"/>
  <c r="G195" i="323"/>
  <c r="H195" i="323"/>
  <c r="G196" i="323"/>
  <c r="H187" i="323"/>
  <c r="I187" i="323" s="1"/>
  <c r="H191" i="323"/>
  <c r="H193" i="323"/>
  <c r="H184" i="323"/>
  <c r="H194" i="323"/>
  <c r="H196" i="323"/>
  <c r="G198" i="323"/>
  <c r="G199" i="323"/>
  <c r="H199" i="323"/>
  <c r="I199" i="323"/>
  <c r="G201" i="323"/>
  <c r="G202" i="323"/>
  <c r="I202" i="323" s="1"/>
  <c r="H202" i="323"/>
  <c r="J202" i="323"/>
  <c r="G203" i="323"/>
  <c r="G204" i="323"/>
  <c r="G205" i="323"/>
  <c r="H205" i="323"/>
  <c r="G206" i="323"/>
  <c r="G207" i="323"/>
  <c r="H207" i="323"/>
  <c r="I207" i="323"/>
  <c r="J207" i="323" s="1"/>
  <c r="G208" i="323"/>
  <c r="H208" i="323"/>
  <c r="I208" i="323"/>
  <c r="G209" i="323"/>
  <c r="H209" i="323"/>
  <c r="I209" i="323"/>
  <c r="G210" i="323"/>
  <c r="I210" i="323" s="1"/>
  <c r="H210" i="323"/>
  <c r="G211" i="323"/>
  <c r="H211" i="323"/>
  <c r="G212" i="323"/>
  <c r="H212" i="323"/>
  <c r="G213" i="323"/>
  <c r="H203" i="323"/>
  <c r="H206" i="323"/>
  <c r="H213" i="323"/>
  <c r="G215" i="323"/>
  <c r="G214" i="323"/>
  <c r="H215" i="323"/>
  <c r="G217" i="323"/>
  <c r="H217" i="323"/>
  <c r="H218" i="323"/>
  <c r="G218" i="323"/>
  <c r="H42" i="182"/>
  <c r="H45" i="182"/>
  <c r="F115" i="323"/>
  <c r="F116" i="323"/>
  <c r="F117" i="323"/>
  <c r="F118" i="323"/>
  <c r="F119" i="323"/>
  <c r="F120" i="323"/>
  <c r="F121" i="323"/>
  <c r="F122" i="323"/>
  <c r="F123" i="323"/>
  <c r="F124" i="323"/>
  <c r="F125" i="323"/>
  <c r="F126" i="323"/>
  <c r="F127" i="323"/>
  <c r="F129" i="323"/>
  <c r="F130" i="323"/>
  <c r="F131" i="323"/>
  <c r="F132" i="323"/>
  <c r="F133" i="323"/>
  <c r="F134" i="323"/>
  <c r="F135" i="323"/>
  <c r="F137" i="323"/>
  <c r="F136" i="323" s="1"/>
  <c r="F26" i="272" s="1"/>
  <c r="F138" i="323"/>
  <c r="F139" i="323"/>
  <c r="F140" i="323"/>
  <c r="F142" i="323"/>
  <c r="F143" i="323"/>
  <c r="F144" i="323"/>
  <c r="F145" i="323"/>
  <c r="F146" i="323"/>
  <c r="F147" i="323"/>
  <c r="F148" i="323"/>
  <c r="F149" i="323"/>
  <c r="F150" i="323"/>
  <c r="F151" i="323"/>
  <c r="F152" i="323"/>
  <c r="F153" i="323"/>
  <c r="F154" i="323"/>
  <c r="F156" i="323"/>
  <c r="F157" i="323"/>
  <c r="F155" i="323" s="1"/>
  <c r="F28" i="272" s="1"/>
  <c r="F158" i="323"/>
  <c r="F160" i="323"/>
  <c r="F159" i="323" s="1"/>
  <c r="F29" i="272" s="1"/>
  <c r="F162" i="323"/>
  <c r="F163" i="323"/>
  <c r="F164" i="323"/>
  <c r="F165" i="323"/>
  <c r="F167" i="323"/>
  <c r="F168" i="323"/>
  <c r="F169" i="323"/>
  <c r="F170" i="323"/>
  <c r="F171" i="323"/>
  <c r="F166" i="323"/>
  <c r="F31" i="272" s="1"/>
  <c r="F173" i="323"/>
  <c r="F174" i="323"/>
  <c r="F175" i="323"/>
  <c r="F176" i="323"/>
  <c r="F177" i="323"/>
  <c r="F178" i="323"/>
  <c r="F179" i="323"/>
  <c r="F181" i="323"/>
  <c r="F182" i="323"/>
  <c r="F184" i="323"/>
  <c r="F185" i="323"/>
  <c r="F186" i="323"/>
  <c r="F187" i="323"/>
  <c r="F188" i="323"/>
  <c r="F189" i="323"/>
  <c r="F190" i="323"/>
  <c r="F191" i="323"/>
  <c r="F192" i="323"/>
  <c r="F193" i="323"/>
  <c r="F194" i="323"/>
  <c r="F195" i="323"/>
  <c r="F196" i="323"/>
  <c r="F183" i="323"/>
  <c r="F34" i="272" s="1"/>
  <c r="F198" i="323"/>
  <c r="F197" i="323" s="1"/>
  <c r="F199" i="323"/>
  <c r="F201" i="323"/>
  <c r="F202" i="323"/>
  <c r="F203" i="323"/>
  <c r="F204" i="323"/>
  <c r="F205" i="323"/>
  <c r="F206" i="323"/>
  <c r="F207" i="323"/>
  <c r="F208" i="323"/>
  <c r="F209" i="323"/>
  <c r="F210" i="323"/>
  <c r="F211" i="323"/>
  <c r="F212" i="323"/>
  <c r="F213" i="323"/>
  <c r="F215" i="323"/>
  <c r="F214" i="323" s="1"/>
  <c r="F37" i="272" s="1"/>
  <c r="F217" i="323"/>
  <c r="F218" i="323"/>
  <c r="F7" i="182"/>
  <c r="F8" i="182"/>
  <c r="F9" i="182"/>
  <c r="F10" i="182"/>
  <c r="F22" i="182"/>
  <c r="E6" i="267"/>
  <c r="F11" i="182"/>
  <c r="F12" i="182"/>
  <c r="F13" i="182"/>
  <c r="F14" i="182"/>
  <c r="F16" i="182"/>
  <c r="F17" i="182"/>
  <c r="F18" i="182"/>
  <c r="F19" i="182"/>
  <c r="F20" i="182"/>
  <c r="F23" i="182"/>
  <c r="F24" i="182"/>
  <c r="F25" i="182"/>
  <c r="F27" i="182"/>
  <c r="F28" i="182"/>
  <c r="F29" i="182"/>
  <c r="F30" i="182"/>
  <c r="F31" i="182"/>
  <c r="F32" i="182"/>
  <c r="F55" i="182"/>
  <c r="F59" i="182"/>
  <c r="E24" i="267"/>
  <c r="I51" i="318"/>
  <c r="I53" i="318"/>
  <c r="F48" i="178"/>
  <c r="F49" i="178"/>
  <c r="F50" i="178"/>
  <c r="G50" i="174" s="1"/>
  <c r="F16" i="178"/>
  <c r="F30" i="178"/>
  <c r="F17" i="178"/>
  <c r="F18" i="178"/>
  <c r="F19" i="178"/>
  <c r="F31" i="178"/>
  <c r="F32" i="178"/>
  <c r="F33" i="178"/>
  <c r="F34" i="178"/>
  <c r="F35" i="178"/>
  <c r="F36" i="178"/>
  <c r="F37" i="178"/>
  <c r="H9" i="335"/>
  <c r="G9" i="335"/>
  <c r="G10" i="335"/>
  <c r="G11" i="335"/>
  <c r="G12" i="335"/>
  <c r="G8" i="335" s="1"/>
  <c r="H10" i="335"/>
  <c r="H11" i="335"/>
  <c r="H12" i="335"/>
  <c r="H14" i="335"/>
  <c r="G14" i="335"/>
  <c r="H15" i="335"/>
  <c r="G15" i="335"/>
  <c r="H16" i="335"/>
  <c r="G16" i="335"/>
  <c r="I16" i="335" s="1"/>
  <c r="J16" i="335"/>
  <c r="H18" i="335"/>
  <c r="G18" i="335"/>
  <c r="G19" i="335"/>
  <c r="H19" i="335"/>
  <c r="I19" i="335" s="1"/>
  <c r="J19" i="335"/>
  <c r="G20" i="335"/>
  <c r="G21" i="335"/>
  <c r="G22" i="335"/>
  <c r="I22" i="335" s="1"/>
  <c r="J22" i="335" s="1"/>
  <c r="G23" i="335"/>
  <c r="G24" i="335"/>
  <c r="G25" i="335"/>
  <c r="H25" i="335"/>
  <c r="I25" i="335"/>
  <c r="G26" i="335"/>
  <c r="H20" i="335"/>
  <c r="H21" i="335"/>
  <c r="I21" i="335" s="1"/>
  <c r="H22" i="335"/>
  <c r="H23" i="335"/>
  <c r="H24" i="335"/>
  <c r="H26" i="335"/>
  <c r="I26" i="335" s="1"/>
  <c r="H28" i="335"/>
  <c r="H29" i="335"/>
  <c r="J29" i="335"/>
  <c r="H30" i="335"/>
  <c r="G30" i="335"/>
  <c r="I30" i="335"/>
  <c r="H31" i="335"/>
  <c r="G31" i="335"/>
  <c r="G28" i="335"/>
  <c r="G29" i="335"/>
  <c r="G32" i="335"/>
  <c r="H32" i="335"/>
  <c r="J32" i="335" s="1"/>
  <c r="G33" i="335"/>
  <c r="G34" i="335"/>
  <c r="H34" i="335"/>
  <c r="G35" i="335"/>
  <c r="G36" i="335"/>
  <c r="G37" i="335"/>
  <c r="H35" i="335"/>
  <c r="H36" i="335"/>
  <c r="H33" i="335"/>
  <c r="H37" i="335"/>
  <c r="H39" i="335"/>
  <c r="J39" i="335"/>
  <c r="H40" i="335"/>
  <c r="G40" i="335"/>
  <c r="G39" i="335"/>
  <c r="G41" i="335"/>
  <c r="H41" i="335"/>
  <c r="J41" i="335"/>
  <c r="G42" i="335"/>
  <c r="G43" i="335"/>
  <c r="G44" i="335"/>
  <c r="H42" i="335"/>
  <c r="H43" i="335"/>
  <c r="H44" i="335"/>
  <c r="H46" i="335"/>
  <c r="G46" i="335"/>
  <c r="G47" i="335"/>
  <c r="G48" i="335"/>
  <c r="H48" i="335"/>
  <c r="G49" i="335"/>
  <c r="G50" i="335"/>
  <c r="G51" i="335"/>
  <c r="G52" i="335"/>
  <c r="H52" i="335"/>
  <c r="I52" i="335"/>
  <c r="H50" i="335"/>
  <c r="J50" i="335" s="1"/>
  <c r="H51" i="335"/>
  <c r="J51" i="335" s="1"/>
  <c r="H47" i="335"/>
  <c r="H49" i="335"/>
  <c r="J52" i="335"/>
  <c r="H54" i="335"/>
  <c r="H55" i="335"/>
  <c r="H56" i="335"/>
  <c r="H57" i="335"/>
  <c r="J57" i="335" s="1"/>
  <c r="H58" i="335"/>
  <c r="G58" i="335"/>
  <c r="I58" i="335"/>
  <c r="H59" i="335"/>
  <c r="G59" i="335"/>
  <c r="H60" i="335"/>
  <c r="H61" i="335"/>
  <c r="H62" i="335"/>
  <c r="J62" i="335"/>
  <c r="G56" i="335"/>
  <c r="I56" i="335"/>
  <c r="G61" i="335"/>
  <c r="H64" i="335"/>
  <c r="J64" i="335" s="1"/>
  <c r="H65" i="335"/>
  <c r="J65" i="335" s="1"/>
  <c r="G65" i="335"/>
  <c r="G64" i="335"/>
  <c r="G66" i="335"/>
  <c r="G67" i="335"/>
  <c r="G68" i="335"/>
  <c r="G63" i="335"/>
  <c r="H66" i="335"/>
  <c r="H67" i="335"/>
  <c r="H68" i="335"/>
  <c r="H70" i="335"/>
  <c r="H71" i="335"/>
  <c r="J71" i="335"/>
  <c r="H72" i="335"/>
  <c r="J72" i="335"/>
  <c r="H73" i="335"/>
  <c r="G73" i="335"/>
  <c r="G70" i="335"/>
  <c r="G71" i="335"/>
  <c r="H77" i="335"/>
  <c r="G77" i="335"/>
  <c r="H78" i="335"/>
  <c r="I78" i="335" s="1"/>
  <c r="G78" i="335"/>
  <c r="H79" i="335"/>
  <c r="I79" i="335" s="1"/>
  <c r="G79" i="335"/>
  <c r="H80" i="335"/>
  <c r="G80" i="335"/>
  <c r="I80" i="335"/>
  <c r="H81" i="335"/>
  <c r="G81" i="335"/>
  <c r="H82" i="335"/>
  <c r="G82" i="335"/>
  <c r="I82" i="335"/>
  <c r="H83" i="335"/>
  <c r="G83" i="335"/>
  <c r="I83" i="335"/>
  <c r="H84" i="335"/>
  <c r="J84" i="335"/>
  <c r="G84" i="335"/>
  <c r="H85" i="335"/>
  <c r="H86" i="335"/>
  <c r="H87" i="335"/>
  <c r="G87" i="335"/>
  <c r="I87" i="335"/>
  <c r="H88" i="335"/>
  <c r="G88" i="335"/>
  <c r="H89" i="335"/>
  <c r="J89" i="335"/>
  <c r="G89" i="335"/>
  <c r="H90" i="335"/>
  <c r="H91" i="335"/>
  <c r="G91" i="335"/>
  <c r="H92" i="335"/>
  <c r="J92" i="335"/>
  <c r="H93" i="335"/>
  <c r="J93" i="335"/>
  <c r="H94" i="335"/>
  <c r="J94" i="335" s="1"/>
  <c r="H95" i="335"/>
  <c r="G95" i="335"/>
  <c r="H96" i="335"/>
  <c r="J96" i="335"/>
  <c r="G96" i="335"/>
  <c r="I96" i="335"/>
  <c r="H97" i="335"/>
  <c r="I97" i="335" s="1"/>
  <c r="G97" i="335"/>
  <c r="H98" i="335"/>
  <c r="I98" i="335" s="1"/>
  <c r="G98" i="335"/>
  <c r="H100" i="335"/>
  <c r="G100" i="335"/>
  <c r="G101" i="335"/>
  <c r="H101" i="335"/>
  <c r="G102" i="335"/>
  <c r="H102" i="335"/>
  <c r="H104" i="335"/>
  <c r="J104" i="335"/>
  <c r="G104" i="335"/>
  <c r="H105" i="335"/>
  <c r="J105" i="335" s="1"/>
  <c r="H106" i="335"/>
  <c r="G106" i="335"/>
  <c r="H107" i="335"/>
  <c r="H108" i="335"/>
  <c r="H112" i="335"/>
  <c r="I112" i="335"/>
  <c r="J112" i="335"/>
  <c r="H113" i="335"/>
  <c r="H115" i="335"/>
  <c r="I115" i="335"/>
  <c r="H116" i="335"/>
  <c r="J116" i="335" s="1"/>
  <c r="H119" i="335"/>
  <c r="H120" i="335"/>
  <c r="H121" i="335"/>
  <c r="H122" i="335"/>
  <c r="G122" i="335"/>
  <c r="H123" i="335"/>
  <c r="G123" i="335"/>
  <c r="H124" i="335"/>
  <c r="G124" i="335"/>
  <c r="H125" i="335"/>
  <c r="H126" i="335"/>
  <c r="I126" i="335" s="1"/>
  <c r="G126" i="335"/>
  <c r="H127" i="335"/>
  <c r="H128" i="335"/>
  <c r="I128" i="335" s="1"/>
  <c r="G128" i="335"/>
  <c r="H129" i="335"/>
  <c r="H131" i="335"/>
  <c r="H132" i="335"/>
  <c r="J132" i="335" s="1"/>
  <c r="G132" i="335"/>
  <c r="G131" i="335"/>
  <c r="G130" i="335" s="1"/>
  <c r="G133" i="335"/>
  <c r="H133" i="335"/>
  <c r="I133" i="335"/>
  <c r="H136" i="335"/>
  <c r="G136" i="335"/>
  <c r="G135" i="335" s="1"/>
  <c r="H139" i="335"/>
  <c r="H141" i="335"/>
  <c r="G141" i="335"/>
  <c r="H142" i="335"/>
  <c r="G142" i="335"/>
  <c r="H143" i="335"/>
  <c r="H144" i="335"/>
  <c r="I144" i="335" s="1"/>
  <c r="G144" i="335"/>
  <c r="H145" i="335"/>
  <c r="G145" i="335"/>
  <c r="I145" i="335" s="1"/>
  <c r="H146" i="335"/>
  <c r="G146" i="335"/>
  <c r="H149" i="335"/>
  <c r="H148" i="335" s="1"/>
  <c r="H152" i="335"/>
  <c r="H155" i="335"/>
  <c r="H154" i="335" s="1"/>
  <c r="H158" i="335"/>
  <c r="H157" i="335" s="1"/>
  <c r="H161" i="335"/>
  <c r="G161" i="335"/>
  <c r="H164" i="335"/>
  <c r="G164" i="335"/>
  <c r="G163" i="335"/>
  <c r="G54" i="335"/>
  <c r="G55" i="335"/>
  <c r="G57" i="335"/>
  <c r="I57" i="335"/>
  <c r="G60" i="335"/>
  <c r="G62" i="335"/>
  <c r="G72" i="335"/>
  <c r="G85" i="335"/>
  <c r="G86" i="335"/>
  <c r="G90" i="335"/>
  <c r="G92" i="335"/>
  <c r="I92" i="335"/>
  <c r="G93" i="335"/>
  <c r="G94" i="335"/>
  <c r="G105" i="335"/>
  <c r="G107" i="335"/>
  <c r="G108" i="335"/>
  <c r="G112" i="335"/>
  <c r="G113" i="335"/>
  <c r="G111" i="335"/>
  <c r="G115" i="335"/>
  <c r="G116" i="335"/>
  <c r="G119" i="335"/>
  <c r="G120" i="335"/>
  <c r="G121" i="335"/>
  <c r="G125" i="335"/>
  <c r="G127" i="335"/>
  <c r="G129" i="335"/>
  <c r="G139" i="335"/>
  <c r="G143" i="335"/>
  <c r="G149" i="335"/>
  <c r="G152" i="335"/>
  <c r="G155" i="335"/>
  <c r="G154" i="335"/>
  <c r="G158" i="335"/>
  <c r="G157" i="335"/>
  <c r="H9" i="325"/>
  <c r="G9" i="325"/>
  <c r="G8" i="325" s="1"/>
  <c r="G10" i="325"/>
  <c r="G11" i="325"/>
  <c r="G12" i="325"/>
  <c r="H11" i="325"/>
  <c r="H10" i="325"/>
  <c r="H12" i="325"/>
  <c r="H14" i="325"/>
  <c r="G14" i="325"/>
  <c r="H15" i="325"/>
  <c r="G15" i="325"/>
  <c r="G16" i="325"/>
  <c r="G13" i="325" s="1"/>
  <c r="H16" i="325"/>
  <c r="H18" i="325"/>
  <c r="J18" i="325"/>
  <c r="H19" i="325"/>
  <c r="G19" i="325"/>
  <c r="H20" i="325"/>
  <c r="G20" i="325"/>
  <c r="I20" i="325" s="1"/>
  <c r="J20" i="325" s="1"/>
  <c r="G18" i="325"/>
  <c r="G21" i="325"/>
  <c r="H21" i="325"/>
  <c r="G22" i="325"/>
  <c r="I22" i="325" s="1"/>
  <c r="H22" i="325"/>
  <c r="G23" i="325"/>
  <c r="G24" i="325"/>
  <c r="G25" i="325"/>
  <c r="G26" i="325"/>
  <c r="I26" i="325" s="1"/>
  <c r="J26" i="325" s="1"/>
  <c r="H26" i="325"/>
  <c r="H23" i="325"/>
  <c r="I23" i="325" s="1"/>
  <c r="J23" i="325" s="1"/>
  <c r="H24" i="325"/>
  <c r="I24" i="325" s="1"/>
  <c r="H25" i="325"/>
  <c r="H128" i="333"/>
  <c r="G128" i="333"/>
  <c r="H100" i="333"/>
  <c r="G100" i="333"/>
  <c r="H101" i="333"/>
  <c r="H102" i="333"/>
  <c r="G101" i="333"/>
  <c r="G102" i="333"/>
  <c r="H78" i="333"/>
  <c r="G78" i="333"/>
  <c r="G77" i="333"/>
  <c r="G79" i="333"/>
  <c r="H79" i="333"/>
  <c r="G80" i="333"/>
  <c r="H80" i="333"/>
  <c r="G81" i="333"/>
  <c r="H81" i="333"/>
  <c r="I81" i="333"/>
  <c r="J81" i="333" s="1"/>
  <c r="G82" i="333"/>
  <c r="H82" i="333"/>
  <c r="I82" i="333" s="1"/>
  <c r="J82" i="333"/>
  <c r="G83" i="333"/>
  <c r="H83" i="333"/>
  <c r="I83" i="333" s="1"/>
  <c r="J83" i="333" s="1"/>
  <c r="G84" i="333"/>
  <c r="G85" i="333"/>
  <c r="G86" i="333"/>
  <c r="G87" i="333"/>
  <c r="G88" i="333"/>
  <c r="G89" i="333"/>
  <c r="G90" i="333"/>
  <c r="G91" i="333"/>
  <c r="G92" i="333"/>
  <c r="G93" i="333"/>
  <c r="G94" i="333"/>
  <c r="H94" i="333"/>
  <c r="I94" i="333" s="1"/>
  <c r="J94" i="333" s="1"/>
  <c r="G95" i="333"/>
  <c r="G96" i="333"/>
  <c r="G97" i="333"/>
  <c r="G98" i="333"/>
  <c r="H88" i="333"/>
  <c r="H90" i="333"/>
  <c r="H92" i="333"/>
  <c r="I92" i="333"/>
  <c r="J92" i="333"/>
  <c r="H95" i="333"/>
  <c r="H96" i="333"/>
  <c r="J74" i="335"/>
  <c r="J109" i="335"/>
  <c r="J134" i="335"/>
  <c r="J137" i="335"/>
  <c r="J147" i="335"/>
  <c r="J150" i="335"/>
  <c r="J153" i="335"/>
  <c r="J156" i="335"/>
  <c r="J159" i="335"/>
  <c r="J162" i="335"/>
  <c r="J165" i="335"/>
  <c r="J168" i="335"/>
  <c r="J169" i="335"/>
  <c r="J171" i="335"/>
  <c r="J172" i="335"/>
  <c r="H9" i="333"/>
  <c r="I9" i="333" s="1"/>
  <c r="J9" i="333" s="1"/>
  <c r="G9" i="333"/>
  <c r="G10" i="333"/>
  <c r="H10" i="333"/>
  <c r="I10" i="333"/>
  <c r="J10" i="333" s="1"/>
  <c r="G11" i="333"/>
  <c r="G12" i="333"/>
  <c r="H12" i="333"/>
  <c r="H11" i="333"/>
  <c r="H14" i="333"/>
  <c r="G14" i="333"/>
  <c r="H15" i="333"/>
  <c r="G15" i="333"/>
  <c r="G16" i="333"/>
  <c r="I16" i="333" s="1"/>
  <c r="H16" i="333"/>
  <c r="H18" i="333"/>
  <c r="G18" i="333"/>
  <c r="G19" i="333"/>
  <c r="G20" i="333"/>
  <c r="G21" i="333"/>
  <c r="G22" i="333"/>
  <c r="G23" i="333"/>
  <c r="H23" i="333"/>
  <c r="I23" i="333"/>
  <c r="J23" i="333" s="1"/>
  <c r="G24" i="333"/>
  <c r="H24" i="333"/>
  <c r="I24" i="333" s="1"/>
  <c r="J24" i="333" s="1"/>
  <c r="G25" i="333"/>
  <c r="H25" i="333"/>
  <c r="I25" i="333" s="1"/>
  <c r="G26" i="333"/>
  <c r="H19" i="333"/>
  <c r="H20" i="333"/>
  <c r="H21" i="333"/>
  <c r="H26" i="333"/>
  <c r="H22" i="333"/>
  <c r="H28" i="333"/>
  <c r="G28" i="333"/>
  <c r="I28" i="333"/>
  <c r="J28" i="333"/>
  <c r="H29" i="333"/>
  <c r="G29" i="333"/>
  <c r="H30" i="333"/>
  <c r="G30" i="333"/>
  <c r="G31" i="333"/>
  <c r="G32" i="333"/>
  <c r="G33" i="333"/>
  <c r="G34" i="333"/>
  <c r="G35" i="333"/>
  <c r="G36" i="333"/>
  <c r="G37" i="333"/>
  <c r="H31" i="333"/>
  <c r="I31" i="333" s="1"/>
  <c r="J31" i="333"/>
  <c r="H32" i="333"/>
  <c r="H34" i="333"/>
  <c r="H33" i="333"/>
  <c r="H35" i="333"/>
  <c r="I35" i="333"/>
  <c r="J35" i="333" s="1"/>
  <c r="H36" i="333"/>
  <c r="I36" i="333"/>
  <c r="J36" i="333" s="1"/>
  <c r="H37" i="333"/>
  <c r="H39" i="333"/>
  <c r="G39" i="333"/>
  <c r="G40" i="333"/>
  <c r="G41" i="333"/>
  <c r="G42" i="333"/>
  <c r="G43" i="333"/>
  <c r="H43" i="333"/>
  <c r="I43" i="333"/>
  <c r="J43" i="333" s="1"/>
  <c r="G44" i="333"/>
  <c r="H40" i="333"/>
  <c r="H41" i="333"/>
  <c r="H42" i="333"/>
  <c r="H44" i="333"/>
  <c r="H46" i="333"/>
  <c r="G46" i="333"/>
  <c r="G47" i="333"/>
  <c r="H47" i="333"/>
  <c r="I47" i="333" s="1"/>
  <c r="J47" i="333" s="1"/>
  <c r="G48" i="333"/>
  <c r="G49" i="333"/>
  <c r="H49" i="333"/>
  <c r="I49" i="333" s="1"/>
  <c r="J49" i="333" s="1"/>
  <c r="G50" i="333"/>
  <c r="H50" i="333"/>
  <c r="I50" i="333" s="1"/>
  <c r="J50" i="333" s="1"/>
  <c r="G51" i="333"/>
  <c r="H51" i="333"/>
  <c r="I51" i="333" s="1"/>
  <c r="J51" i="333"/>
  <c r="G52" i="333"/>
  <c r="H52" i="333"/>
  <c r="I52" i="333" s="1"/>
  <c r="J52" i="333" s="1"/>
  <c r="H48" i="333"/>
  <c r="I48" i="333" s="1"/>
  <c r="J48" i="333" s="1"/>
  <c r="H54" i="333"/>
  <c r="G54" i="333"/>
  <c r="I54" i="333"/>
  <c r="J54" i="333" s="1"/>
  <c r="G55" i="333"/>
  <c r="H55" i="333"/>
  <c r="I55" i="333" s="1"/>
  <c r="J55" i="333" s="1"/>
  <c r="G56" i="333"/>
  <c r="H56" i="333"/>
  <c r="I56" i="333" s="1"/>
  <c r="G57" i="333"/>
  <c r="G58" i="333"/>
  <c r="H58" i="333"/>
  <c r="I58" i="333" s="1"/>
  <c r="J58" i="333" s="1"/>
  <c r="G59" i="333"/>
  <c r="I59" i="333" s="1"/>
  <c r="J59" i="333" s="1"/>
  <c r="H59" i="333"/>
  <c r="G60" i="333"/>
  <c r="G61" i="333"/>
  <c r="H61" i="333"/>
  <c r="I61" i="333" s="1"/>
  <c r="G62" i="333"/>
  <c r="J56" i="333"/>
  <c r="H57" i="333"/>
  <c r="H60" i="333"/>
  <c r="I60" i="333" s="1"/>
  <c r="J60" i="333" s="1"/>
  <c r="H62" i="333"/>
  <c r="H64" i="333"/>
  <c r="H65" i="333"/>
  <c r="G65" i="333"/>
  <c r="H66" i="333"/>
  <c r="G66" i="333"/>
  <c r="H67" i="333"/>
  <c r="G67" i="333"/>
  <c r="H68" i="333"/>
  <c r="G68" i="333"/>
  <c r="G64" i="333"/>
  <c r="G63" i="333" s="1"/>
  <c r="H70" i="333"/>
  <c r="G70" i="333"/>
  <c r="G71" i="333"/>
  <c r="H71" i="333"/>
  <c r="I71" i="333" s="1"/>
  <c r="J71" i="333" s="1"/>
  <c r="G72" i="333"/>
  <c r="H72" i="333"/>
  <c r="H73" i="333"/>
  <c r="I73" i="333" s="1"/>
  <c r="J73" i="333" s="1"/>
  <c r="G73" i="333"/>
  <c r="J74" i="333"/>
  <c r="H77" i="333"/>
  <c r="H84" i="333"/>
  <c r="H85" i="333"/>
  <c r="H86" i="333"/>
  <c r="H87" i="333"/>
  <c r="I87" i="333" s="1"/>
  <c r="H89" i="333"/>
  <c r="H91" i="333"/>
  <c r="H93" i="333"/>
  <c r="H97" i="333"/>
  <c r="H98" i="333"/>
  <c r="H104" i="333"/>
  <c r="I104" i="333" s="1"/>
  <c r="G104" i="333"/>
  <c r="J104" i="333"/>
  <c r="H105" i="333"/>
  <c r="G105" i="333"/>
  <c r="H106" i="333"/>
  <c r="H107" i="333"/>
  <c r="H108" i="333"/>
  <c r="I108" i="333" s="1"/>
  <c r="G108" i="333"/>
  <c r="G106" i="333"/>
  <c r="G107" i="333"/>
  <c r="H112" i="333"/>
  <c r="I112" i="333" s="1"/>
  <c r="G112" i="333"/>
  <c r="G113" i="333"/>
  <c r="G115" i="333"/>
  <c r="G116" i="333"/>
  <c r="H113" i="333"/>
  <c r="H115" i="333"/>
  <c r="H116" i="333"/>
  <c r="I116" i="333" s="1"/>
  <c r="J116" i="333" s="1"/>
  <c r="H119" i="333"/>
  <c r="I119" i="333" s="1"/>
  <c r="G119" i="333"/>
  <c r="J119" i="333"/>
  <c r="H120" i="333"/>
  <c r="G120" i="333"/>
  <c r="H121" i="333"/>
  <c r="G121" i="333"/>
  <c r="H122" i="333"/>
  <c r="I122" i="333" s="1"/>
  <c r="G122" i="333"/>
  <c r="J122" i="333"/>
  <c r="H123" i="333"/>
  <c r="I123" i="333" s="1"/>
  <c r="J123" i="333" s="1"/>
  <c r="G123" i="333"/>
  <c r="H124" i="333"/>
  <c r="G124" i="333"/>
  <c r="G125" i="333"/>
  <c r="H125" i="333"/>
  <c r="G126" i="333"/>
  <c r="I126" i="333" s="1"/>
  <c r="G127" i="333"/>
  <c r="G129" i="333"/>
  <c r="H129" i="333"/>
  <c r="H126" i="333"/>
  <c r="H127" i="333"/>
  <c r="H131" i="333"/>
  <c r="G131" i="333"/>
  <c r="H132" i="333"/>
  <c r="H133" i="333"/>
  <c r="G133" i="333"/>
  <c r="G132" i="333"/>
  <c r="J134" i="333"/>
  <c r="J137" i="333"/>
  <c r="H141" i="333"/>
  <c r="G141" i="333"/>
  <c r="G142" i="333"/>
  <c r="G143" i="333"/>
  <c r="H143" i="333"/>
  <c r="G144" i="333"/>
  <c r="G145" i="333"/>
  <c r="G146" i="333"/>
  <c r="H144" i="333"/>
  <c r="H145" i="333"/>
  <c r="H142" i="333"/>
  <c r="H146" i="333"/>
  <c r="J147" i="333"/>
  <c r="H149" i="333"/>
  <c r="H148" i="333" s="1"/>
  <c r="G149" i="333"/>
  <c r="H152" i="333"/>
  <c r="G152" i="333"/>
  <c r="G151" i="333" s="1"/>
  <c r="I152" i="333"/>
  <c r="J152" i="333" s="1"/>
  <c r="H155" i="333"/>
  <c r="G155" i="333"/>
  <c r="G154" i="333" s="1"/>
  <c r="H158" i="333"/>
  <c r="G158" i="333"/>
  <c r="G157" i="333"/>
  <c r="H161" i="333"/>
  <c r="G161" i="333"/>
  <c r="G160" i="333"/>
  <c r="J162" i="333"/>
  <c r="J165" i="333"/>
  <c r="H9" i="326"/>
  <c r="G9" i="326"/>
  <c r="I9" i="326"/>
  <c r="H10" i="326"/>
  <c r="G10" i="326"/>
  <c r="I10" i="326"/>
  <c r="H11" i="326"/>
  <c r="I11" i="326" s="1"/>
  <c r="H12" i="326"/>
  <c r="G11" i="326"/>
  <c r="G12" i="326"/>
  <c r="H14" i="326"/>
  <c r="G14" i="326"/>
  <c r="H15" i="326"/>
  <c r="H16" i="326"/>
  <c r="G16" i="326"/>
  <c r="H18" i="326"/>
  <c r="H19" i="326"/>
  <c r="G19" i="326"/>
  <c r="G18" i="326"/>
  <c r="G20" i="326"/>
  <c r="G21" i="326"/>
  <c r="G22" i="326"/>
  <c r="H22" i="326"/>
  <c r="J22" i="326" s="1"/>
  <c r="G23" i="326"/>
  <c r="G24" i="326"/>
  <c r="G25" i="326"/>
  <c r="G26" i="326"/>
  <c r="H20" i="326"/>
  <c r="J20" i="326" s="1"/>
  <c r="H21" i="326"/>
  <c r="H24" i="326"/>
  <c r="H25" i="326"/>
  <c r="H26" i="326"/>
  <c r="H23" i="326"/>
  <c r="J23" i="326"/>
  <c r="H28" i="326"/>
  <c r="H29" i="326"/>
  <c r="J29" i="326" s="1"/>
  <c r="H30" i="326"/>
  <c r="H31" i="326"/>
  <c r="H32" i="326"/>
  <c r="G32" i="326"/>
  <c r="I32" i="326"/>
  <c r="G28" i="326"/>
  <c r="G27" i="326" s="1"/>
  <c r="G29" i="326"/>
  <c r="G30" i="326"/>
  <c r="I30" i="326" s="1"/>
  <c r="G31" i="326"/>
  <c r="G33" i="326"/>
  <c r="G34" i="326"/>
  <c r="I34" i="326" s="1"/>
  <c r="G35" i="326"/>
  <c r="G36" i="326"/>
  <c r="G37" i="326"/>
  <c r="H33" i="326"/>
  <c r="H34" i="326"/>
  <c r="H35" i="326"/>
  <c r="H36" i="326"/>
  <c r="J36" i="326" s="1"/>
  <c r="H37" i="326"/>
  <c r="H39" i="326"/>
  <c r="G39" i="326"/>
  <c r="H40" i="326"/>
  <c r="G40" i="326"/>
  <c r="H41" i="326"/>
  <c r="G41" i="326"/>
  <c r="G42" i="326"/>
  <c r="H42" i="326"/>
  <c r="H43" i="326"/>
  <c r="J43" i="326" s="1"/>
  <c r="H44" i="326"/>
  <c r="I44" i="326" s="1"/>
  <c r="G44" i="326"/>
  <c r="G43" i="326"/>
  <c r="H46" i="326"/>
  <c r="J46" i="326" s="1"/>
  <c r="H47" i="326"/>
  <c r="G47" i="326"/>
  <c r="G46" i="326"/>
  <c r="G48" i="326"/>
  <c r="G49" i="326"/>
  <c r="H49" i="326"/>
  <c r="G50" i="326"/>
  <c r="H50" i="326"/>
  <c r="I50" i="326" s="1"/>
  <c r="G51" i="326"/>
  <c r="I51" i="326" s="1"/>
  <c r="H51" i="326"/>
  <c r="G52" i="326"/>
  <c r="H52" i="326"/>
  <c r="H48" i="326"/>
  <c r="H54" i="326"/>
  <c r="H55" i="326"/>
  <c r="H56" i="326"/>
  <c r="G56" i="326"/>
  <c r="G54" i="326"/>
  <c r="G55" i="326"/>
  <c r="G57" i="326"/>
  <c r="G58" i="326"/>
  <c r="G59" i="326"/>
  <c r="G60" i="326"/>
  <c r="G61" i="326"/>
  <c r="G62" i="326"/>
  <c r="H57" i="326"/>
  <c r="J57" i="326"/>
  <c r="H58" i="326"/>
  <c r="H59" i="326"/>
  <c r="H60" i="326"/>
  <c r="H61" i="326"/>
  <c r="H62" i="326"/>
  <c r="H64" i="326"/>
  <c r="J64" i="326" s="1"/>
  <c r="G64" i="326"/>
  <c r="I64" i="326"/>
  <c r="H65" i="326"/>
  <c r="G65" i="326"/>
  <c r="G66" i="326"/>
  <c r="H66" i="326"/>
  <c r="G67" i="326"/>
  <c r="H67" i="326"/>
  <c r="I67" i="326"/>
  <c r="G68" i="326"/>
  <c r="H68" i="326"/>
  <c r="J68" i="326" s="1"/>
  <c r="H70" i="326"/>
  <c r="J70" i="326"/>
  <c r="G70" i="326"/>
  <c r="G71" i="326"/>
  <c r="H71" i="326"/>
  <c r="I71" i="326"/>
  <c r="G72" i="326"/>
  <c r="H72" i="326"/>
  <c r="G73" i="326"/>
  <c r="H73" i="326"/>
  <c r="J73" i="326" s="1"/>
  <c r="J74" i="326"/>
  <c r="H77" i="326"/>
  <c r="J77" i="326" s="1"/>
  <c r="G77" i="326"/>
  <c r="H78" i="326"/>
  <c r="H79" i="326"/>
  <c r="H80" i="326"/>
  <c r="I80" i="326" s="1"/>
  <c r="G80" i="326"/>
  <c r="H81" i="326"/>
  <c r="G81" i="326"/>
  <c r="H82" i="326"/>
  <c r="G82" i="326"/>
  <c r="H83" i="326"/>
  <c r="J83" i="326" s="1"/>
  <c r="H84" i="326"/>
  <c r="J84" i="326"/>
  <c r="G84" i="326"/>
  <c r="I84" i="326" s="1"/>
  <c r="H85" i="326"/>
  <c r="J85" i="326" s="1"/>
  <c r="G85" i="326"/>
  <c r="H86" i="326"/>
  <c r="G86" i="326"/>
  <c r="H87" i="326"/>
  <c r="G87" i="326"/>
  <c r="H88" i="326"/>
  <c r="I88" i="326" s="1"/>
  <c r="J88" i="326"/>
  <c r="G88" i="326"/>
  <c r="H89" i="326"/>
  <c r="J89" i="326" s="1"/>
  <c r="G89" i="326"/>
  <c r="I89" i="326"/>
  <c r="H90" i="326"/>
  <c r="G90" i="326"/>
  <c r="H91" i="326"/>
  <c r="G91" i="326"/>
  <c r="H92" i="326"/>
  <c r="J92" i="326" s="1"/>
  <c r="H93" i="326"/>
  <c r="G93" i="326"/>
  <c r="I93" i="326"/>
  <c r="H94" i="326"/>
  <c r="G94" i="326"/>
  <c r="H95" i="326"/>
  <c r="H96" i="326"/>
  <c r="G96" i="326"/>
  <c r="H97" i="326"/>
  <c r="H98" i="326"/>
  <c r="H100" i="326"/>
  <c r="G100" i="326"/>
  <c r="H101" i="326"/>
  <c r="G101" i="326"/>
  <c r="H102" i="326"/>
  <c r="G78" i="326"/>
  <c r="G79" i="326"/>
  <c r="G83" i="326"/>
  <c r="I83" i="326"/>
  <c r="G92" i="326"/>
  <c r="G95" i="326"/>
  <c r="G97" i="326"/>
  <c r="G98" i="326"/>
  <c r="G102" i="326"/>
  <c r="H104" i="326"/>
  <c r="J104" i="326"/>
  <c r="H105" i="326"/>
  <c r="H106" i="326"/>
  <c r="G106" i="326"/>
  <c r="H107" i="326"/>
  <c r="H108" i="326"/>
  <c r="J109" i="326"/>
  <c r="H112" i="326"/>
  <c r="G112" i="326"/>
  <c r="G113" i="326"/>
  <c r="H113" i="326"/>
  <c r="I113" i="326" s="1"/>
  <c r="G115" i="326"/>
  <c r="G116" i="326"/>
  <c r="H116" i="326"/>
  <c r="J116" i="326" s="1"/>
  <c r="H115" i="326"/>
  <c r="H114" i="326"/>
  <c r="H119" i="326"/>
  <c r="H120" i="326"/>
  <c r="I120" i="326" s="1"/>
  <c r="H121" i="326"/>
  <c r="H122" i="326"/>
  <c r="H123" i="326"/>
  <c r="J123" i="326"/>
  <c r="G123" i="326"/>
  <c r="G119" i="326"/>
  <c r="I119" i="326"/>
  <c r="J119" i="326" s="1"/>
  <c r="G120" i="326"/>
  <c r="G121" i="326"/>
  <c r="G122" i="326"/>
  <c r="I122" i="326" s="1"/>
  <c r="G124" i="326"/>
  <c r="H124" i="326"/>
  <c r="G125" i="326"/>
  <c r="H125" i="326"/>
  <c r="I125" i="326" s="1"/>
  <c r="G126" i="326"/>
  <c r="H126" i="326"/>
  <c r="I126" i="326" s="1"/>
  <c r="G127" i="326"/>
  <c r="H127" i="326"/>
  <c r="G128" i="326"/>
  <c r="G129" i="326"/>
  <c r="H129" i="326"/>
  <c r="J129" i="326" s="1"/>
  <c r="H128" i="326"/>
  <c r="H131" i="326"/>
  <c r="H132" i="326"/>
  <c r="H133" i="326"/>
  <c r="J133" i="326" s="1"/>
  <c r="G131" i="326"/>
  <c r="G132" i="326"/>
  <c r="G133" i="326"/>
  <c r="J134" i="326"/>
  <c r="H136" i="326"/>
  <c r="G136" i="326"/>
  <c r="G135" i="326"/>
  <c r="J137" i="326"/>
  <c r="H139" i="326"/>
  <c r="G139" i="326"/>
  <c r="H141" i="326"/>
  <c r="H142" i="326"/>
  <c r="H143" i="326"/>
  <c r="H144" i="326"/>
  <c r="G144" i="326"/>
  <c r="H145" i="326"/>
  <c r="H146" i="326"/>
  <c r="G143" i="326"/>
  <c r="G141" i="326"/>
  <c r="G142" i="326"/>
  <c r="G145" i="326"/>
  <c r="G146" i="326"/>
  <c r="J147" i="326"/>
  <c r="H149" i="326"/>
  <c r="H148" i="326"/>
  <c r="G149" i="326"/>
  <c r="G148" i="326" s="1"/>
  <c r="J150" i="326"/>
  <c r="H152" i="326"/>
  <c r="H151" i="326" s="1"/>
  <c r="G152" i="326"/>
  <c r="J153" i="326"/>
  <c r="H155" i="326"/>
  <c r="H154" i="326"/>
  <c r="G155" i="326"/>
  <c r="G154" i="326" s="1"/>
  <c r="J156" i="326"/>
  <c r="H158" i="326"/>
  <c r="G158" i="326"/>
  <c r="G157" i="326"/>
  <c r="J159" i="326"/>
  <c r="H161" i="326"/>
  <c r="I161" i="326" s="1"/>
  <c r="J162" i="326"/>
  <c r="H164" i="326"/>
  <c r="G164" i="326"/>
  <c r="G163" i="326" s="1"/>
  <c r="J165" i="326"/>
  <c r="J168" i="326"/>
  <c r="J169" i="326"/>
  <c r="J171" i="326"/>
  <c r="J172" i="326"/>
  <c r="G15" i="326"/>
  <c r="G104" i="326"/>
  <c r="G105" i="326"/>
  <c r="G107" i="326"/>
  <c r="G108" i="326"/>
  <c r="G161" i="326"/>
  <c r="G160" i="326" s="1"/>
  <c r="H95" i="242"/>
  <c r="G95" i="242"/>
  <c r="H96" i="242"/>
  <c r="H97" i="242"/>
  <c r="J97" i="242" s="1"/>
  <c r="G97" i="242"/>
  <c r="H98" i="242"/>
  <c r="J98" i="242" s="1"/>
  <c r="G98" i="242"/>
  <c r="H100" i="242"/>
  <c r="G100" i="242"/>
  <c r="H101" i="242"/>
  <c r="G101" i="242"/>
  <c r="G102" i="242"/>
  <c r="H102" i="242"/>
  <c r="H104" i="242"/>
  <c r="H105" i="242"/>
  <c r="J105" i="242"/>
  <c r="H106" i="242"/>
  <c r="H107" i="242"/>
  <c r="J107" i="242" s="1"/>
  <c r="H108" i="242"/>
  <c r="G108" i="242"/>
  <c r="J109" i="242"/>
  <c r="H112" i="242"/>
  <c r="G112" i="242"/>
  <c r="G111" i="242" s="1"/>
  <c r="H113" i="242"/>
  <c r="J113" i="242" s="1"/>
  <c r="G113" i="242"/>
  <c r="G115" i="242"/>
  <c r="G116" i="242"/>
  <c r="G114" i="242" s="1"/>
  <c r="G110" i="242" s="1"/>
  <c r="H115" i="242"/>
  <c r="H116" i="242"/>
  <c r="H119" i="242"/>
  <c r="G119" i="242"/>
  <c r="H120" i="242"/>
  <c r="J120" i="242"/>
  <c r="G120" i="242"/>
  <c r="G121" i="242"/>
  <c r="G122" i="242"/>
  <c r="G123" i="242"/>
  <c r="G124" i="242"/>
  <c r="G125" i="242"/>
  <c r="G126" i="242"/>
  <c r="G127" i="242"/>
  <c r="G128" i="242"/>
  <c r="G129" i="242"/>
  <c r="H121" i="242"/>
  <c r="H122" i="242"/>
  <c r="H123" i="242"/>
  <c r="J123" i="242"/>
  <c r="H124" i="242"/>
  <c r="J124" i="242" s="1"/>
  <c r="H125" i="242"/>
  <c r="H126" i="242"/>
  <c r="H127" i="242"/>
  <c r="H128" i="242"/>
  <c r="J128" i="242"/>
  <c r="H129" i="242"/>
  <c r="I129" i="242"/>
  <c r="H131" i="242"/>
  <c r="J131" i="242"/>
  <c r="H132" i="242"/>
  <c r="H133" i="242"/>
  <c r="G131" i="242"/>
  <c r="G132" i="242"/>
  <c r="G133" i="242"/>
  <c r="I123" i="242"/>
  <c r="H135" i="242"/>
  <c r="J135" i="242" s="1"/>
  <c r="H134" i="242"/>
  <c r="G135" i="242"/>
  <c r="G134" i="242"/>
  <c r="J136" i="242"/>
  <c r="H138" i="242"/>
  <c r="J138" i="242"/>
  <c r="H140" i="242"/>
  <c r="H141" i="242"/>
  <c r="G141" i="242"/>
  <c r="G140" i="242"/>
  <c r="G142" i="242"/>
  <c r="G143" i="242"/>
  <c r="H143" i="242"/>
  <c r="I143" i="242"/>
  <c r="J143" i="242" s="1"/>
  <c r="G144" i="242"/>
  <c r="G145" i="242"/>
  <c r="G138" i="242"/>
  <c r="H142" i="242"/>
  <c r="H144" i="242"/>
  <c r="I144" i="242" s="1"/>
  <c r="H145" i="242"/>
  <c r="J145" i="242"/>
  <c r="J146" i="242"/>
  <c r="H148" i="242"/>
  <c r="H147" i="242" s="1"/>
  <c r="G148" i="242"/>
  <c r="J149" i="242"/>
  <c r="H151" i="242"/>
  <c r="H150" i="242" s="1"/>
  <c r="G151" i="242"/>
  <c r="G150" i="242"/>
  <c r="J152" i="242"/>
  <c r="H154" i="242"/>
  <c r="G154" i="242"/>
  <c r="J155" i="242"/>
  <c r="H157" i="242"/>
  <c r="H156" i="242"/>
  <c r="G157" i="242"/>
  <c r="G156" i="242"/>
  <c r="I156" i="242"/>
  <c r="J158" i="242"/>
  <c r="H160" i="242"/>
  <c r="J161" i="242"/>
  <c r="J163" i="242"/>
  <c r="J164" i="242"/>
  <c r="J167" i="242"/>
  <c r="J168" i="242"/>
  <c r="J170" i="242"/>
  <c r="J171" i="242"/>
  <c r="H94" i="242"/>
  <c r="G94" i="242"/>
  <c r="I94" i="242" s="1"/>
  <c r="J94" i="242" s="1"/>
  <c r="J31" i="318"/>
  <c r="J33" i="318"/>
  <c r="J35" i="318"/>
  <c r="J36" i="318"/>
  <c r="J37" i="318"/>
  <c r="J51" i="318"/>
  <c r="J53" i="318"/>
  <c r="J55" i="318"/>
  <c r="H7" i="318"/>
  <c r="G7" i="318"/>
  <c r="H8" i="318"/>
  <c r="G8" i="318"/>
  <c r="G9" i="318"/>
  <c r="H9" i="318"/>
  <c r="H10" i="318"/>
  <c r="G10" i="318"/>
  <c r="I10" i="318"/>
  <c r="J10" i="318"/>
  <c r="H11" i="318"/>
  <c r="I11" i="318" s="1"/>
  <c r="H12" i="318"/>
  <c r="G12" i="318"/>
  <c r="H13" i="318"/>
  <c r="G11" i="318"/>
  <c r="G13" i="318"/>
  <c r="J57" i="318"/>
  <c r="J58" i="318"/>
  <c r="J59" i="318"/>
  <c r="J61" i="318"/>
  <c r="J62" i="318"/>
  <c r="J63" i="318"/>
  <c r="J64" i="318"/>
  <c r="J65" i="318"/>
  <c r="J66" i="318"/>
  <c r="J67" i="318"/>
  <c r="I68" i="318"/>
  <c r="J68" i="318"/>
  <c r="J70" i="318"/>
  <c r="J71" i="318"/>
  <c r="I72" i="318"/>
  <c r="J72" i="318"/>
  <c r="J74" i="318"/>
  <c r="J75" i="318"/>
  <c r="J77" i="318"/>
  <c r="J78" i="318"/>
  <c r="J79" i="318"/>
  <c r="J80" i="318"/>
  <c r="J83" i="318"/>
  <c r="J84" i="318"/>
  <c r="J85" i="318"/>
  <c r="J86" i="318"/>
  <c r="J87" i="318"/>
  <c r="J88" i="318"/>
  <c r="J89" i="318"/>
  <c r="J90" i="318"/>
  <c r="J91" i="318"/>
  <c r="J92" i="318"/>
  <c r="J93" i="318"/>
  <c r="J94" i="318"/>
  <c r="J95" i="318"/>
  <c r="J97" i="318"/>
  <c r="J98" i="318"/>
  <c r="J99" i="318"/>
  <c r="J100" i="318"/>
  <c r="J101" i="318"/>
  <c r="J102" i="318"/>
  <c r="J103" i="318"/>
  <c r="J104" i="318"/>
  <c r="J105" i="318"/>
  <c r="J106" i="318"/>
  <c r="J107" i="318"/>
  <c r="J108" i="318"/>
  <c r="J109" i="318"/>
  <c r="J110" i="318"/>
  <c r="J111" i="318"/>
  <c r="J112" i="318"/>
  <c r="J113" i="318"/>
  <c r="J114" i="318"/>
  <c r="J115" i="318"/>
  <c r="J29" i="177"/>
  <c r="J30" i="177"/>
  <c r="J31" i="177"/>
  <c r="J35" i="177"/>
  <c r="J112" i="324"/>
  <c r="J113" i="324"/>
  <c r="J114" i="324"/>
  <c r="H126" i="324"/>
  <c r="J126" i="324"/>
  <c r="H127" i="324"/>
  <c r="J220" i="324"/>
  <c r="J22" i="268"/>
  <c r="J23" i="268"/>
  <c r="J41" i="268"/>
  <c r="J42" i="268"/>
  <c r="J64" i="268"/>
  <c r="J65" i="268"/>
  <c r="J68" i="268"/>
  <c r="J71" i="268"/>
  <c r="H27" i="182"/>
  <c r="G27" i="182"/>
  <c r="H28" i="182"/>
  <c r="J28" i="182" s="1"/>
  <c r="G28" i="182"/>
  <c r="H29" i="182"/>
  <c r="G29" i="182"/>
  <c r="I29" i="182" s="1"/>
  <c r="H30" i="182"/>
  <c r="G30" i="182"/>
  <c r="I30" i="182"/>
  <c r="J30" i="182" s="1"/>
  <c r="H31" i="182"/>
  <c r="G31" i="182"/>
  <c r="I31" i="182"/>
  <c r="J31" i="182"/>
  <c r="H32" i="182"/>
  <c r="J32" i="182" s="1"/>
  <c r="H7" i="182"/>
  <c r="H8" i="182"/>
  <c r="H9" i="182"/>
  <c r="I9" i="182" s="1"/>
  <c r="J9" i="182" s="1"/>
  <c r="H10" i="182"/>
  <c r="G7" i="182"/>
  <c r="F7" i="267" s="1"/>
  <c r="G8" i="182"/>
  <c r="G9" i="182"/>
  <c r="G10" i="182"/>
  <c r="H11" i="182"/>
  <c r="I11" i="182" s="1"/>
  <c r="J11" i="182" s="1"/>
  <c r="G11" i="182"/>
  <c r="H12" i="182"/>
  <c r="G12" i="182"/>
  <c r="H13" i="182"/>
  <c r="J13" i="182" s="1"/>
  <c r="H14" i="182"/>
  <c r="G14" i="182"/>
  <c r="I14" i="182"/>
  <c r="H16" i="182"/>
  <c r="G16" i="182"/>
  <c r="I16" i="182" s="1"/>
  <c r="H17" i="182"/>
  <c r="G17" i="182"/>
  <c r="H18" i="182"/>
  <c r="H19" i="182"/>
  <c r="G19" i="182"/>
  <c r="H20" i="182"/>
  <c r="H22" i="182"/>
  <c r="H23" i="182"/>
  <c r="G23" i="182"/>
  <c r="H24" i="182"/>
  <c r="H25" i="182"/>
  <c r="G20" i="182"/>
  <c r="G22" i="182"/>
  <c r="F6" i="267"/>
  <c r="H6" i="267" s="1"/>
  <c r="I6" i="267" s="1"/>
  <c r="G6" i="267"/>
  <c r="G25" i="182"/>
  <c r="I25" i="182" s="1"/>
  <c r="G13" i="182"/>
  <c r="I13" i="182" s="1"/>
  <c r="G18" i="182"/>
  <c r="G24" i="182"/>
  <c r="G32" i="182"/>
  <c r="J34" i="182"/>
  <c r="J53" i="182"/>
  <c r="J21" i="182"/>
  <c r="H55" i="323"/>
  <c r="G55" i="323"/>
  <c r="G54" i="323"/>
  <c r="G53" i="323" s="1"/>
  <c r="G56" i="323"/>
  <c r="G57" i="323"/>
  <c r="H54" i="323"/>
  <c r="H56" i="323"/>
  <c r="H57" i="323"/>
  <c r="H59" i="323"/>
  <c r="H60" i="323"/>
  <c r="G60" i="323"/>
  <c r="I60" i="323" s="1"/>
  <c r="J60" i="323" s="1"/>
  <c r="G59" i="323"/>
  <c r="G61" i="323"/>
  <c r="H61" i="323"/>
  <c r="J61" i="323" s="1"/>
  <c r="G62" i="323"/>
  <c r="H62" i="323"/>
  <c r="G63" i="323"/>
  <c r="H63" i="323"/>
  <c r="H65" i="323"/>
  <c r="H66" i="323"/>
  <c r="I66" i="323" s="1"/>
  <c r="G66" i="323"/>
  <c r="J66" i="323"/>
  <c r="H67" i="323"/>
  <c r="I67" i="323" s="1"/>
  <c r="H68" i="323"/>
  <c r="H69" i="323"/>
  <c r="G69" i="323"/>
  <c r="H70" i="323"/>
  <c r="G70" i="323"/>
  <c r="H71" i="323"/>
  <c r="G71" i="323"/>
  <c r="I71" i="323" s="1"/>
  <c r="J71" i="323" s="1"/>
  <c r="G65" i="323"/>
  <c r="G67" i="323"/>
  <c r="G68" i="323"/>
  <c r="H73" i="323"/>
  <c r="H74" i="323"/>
  <c r="H72" i="323"/>
  <c r="H15" i="272"/>
  <c r="G74" i="323"/>
  <c r="G73" i="323"/>
  <c r="H76" i="323"/>
  <c r="G76" i="323"/>
  <c r="H77" i="323"/>
  <c r="G77" i="323"/>
  <c r="G78" i="323"/>
  <c r="G79" i="323"/>
  <c r="I79" i="323" s="1"/>
  <c r="G80" i="323"/>
  <c r="H80" i="323"/>
  <c r="J80" i="323"/>
  <c r="G81" i="323"/>
  <c r="H81" i="323"/>
  <c r="G82" i="323"/>
  <c r="H82" i="323"/>
  <c r="I82" i="323"/>
  <c r="G83" i="323"/>
  <c r="G84" i="323"/>
  <c r="H84" i="323"/>
  <c r="G85" i="323"/>
  <c r="H85" i="323"/>
  <c r="I85" i="323"/>
  <c r="G86" i="323"/>
  <c r="H86" i="323"/>
  <c r="G87" i="323"/>
  <c r="G88" i="323"/>
  <c r="H88" i="323"/>
  <c r="H78" i="323"/>
  <c r="H79" i="323"/>
  <c r="H83" i="323"/>
  <c r="H87" i="323"/>
  <c r="H90" i="323"/>
  <c r="H89" i="323" s="1"/>
  <c r="H17" i="272" s="1"/>
  <c r="H91" i="323"/>
  <c r="G90" i="323"/>
  <c r="G91" i="323"/>
  <c r="G89" i="323"/>
  <c r="G17" i="272" s="1"/>
  <c r="I91" i="323"/>
  <c r="J91" i="323" s="1"/>
  <c r="H93" i="323"/>
  <c r="I93" i="323" s="1"/>
  <c r="H94" i="323"/>
  <c r="H95" i="323"/>
  <c r="H96" i="323"/>
  <c r="H97" i="323"/>
  <c r="H98" i="323"/>
  <c r="G98" i="323"/>
  <c r="H99" i="323"/>
  <c r="G99" i="323"/>
  <c r="I99" i="323" s="1"/>
  <c r="H100" i="323"/>
  <c r="H101" i="323"/>
  <c r="H102" i="323"/>
  <c r="H103" i="323"/>
  <c r="H104" i="323"/>
  <c r="J104" i="323" s="1"/>
  <c r="H105" i="323"/>
  <c r="J105" i="323"/>
  <c r="G100" i="323"/>
  <c r="G94" i="323"/>
  <c r="G95" i="323"/>
  <c r="I95" i="323" s="1"/>
  <c r="J95" i="323" s="1"/>
  <c r="G96" i="323"/>
  <c r="G97" i="323"/>
  <c r="G102" i="323"/>
  <c r="G101" i="323"/>
  <c r="I101" i="323" s="1"/>
  <c r="G103" i="323"/>
  <c r="G105" i="323"/>
  <c r="I105" i="323"/>
  <c r="G93" i="323"/>
  <c r="J93" i="323"/>
  <c r="G104" i="323"/>
  <c r="I104" i="323"/>
  <c r="H107" i="323"/>
  <c r="G107" i="323"/>
  <c r="G106" i="323" s="1"/>
  <c r="H109" i="323"/>
  <c r="H110" i="323"/>
  <c r="G110" i="323"/>
  <c r="G109" i="323"/>
  <c r="H7" i="323"/>
  <c r="G7" i="323"/>
  <c r="H8" i="323"/>
  <c r="G8" i="323"/>
  <c r="H9" i="323"/>
  <c r="G9" i="323"/>
  <c r="H10" i="323"/>
  <c r="H11" i="323"/>
  <c r="G11" i="323"/>
  <c r="H12" i="323"/>
  <c r="G12" i="323"/>
  <c r="I12" i="323" s="1"/>
  <c r="J12" i="323" s="1"/>
  <c r="H13" i="323"/>
  <c r="H14" i="323"/>
  <c r="I14" i="323" s="1"/>
  <c r="G14" i="323"/>
  <c r="J14" i="323"/>
  <c r="H15" i="323"/>
  <c r="I15" i="323" s="1"/>
  <c r="J15" i="323" s="1"/>
  <c r="H16" i="323"/>
  <c r="H17" i="323"/>
  <c r="H18" i="323"/>
  <c r="J18" i="323"/>
  <c r="H19" i="323"/>
  <c r="G19" i="323"/>
  <c r="I19" i="323"/>
  <c r="J19" i="323" s="1"/>
  <c r="G17" i="323"/>
  <c r="G18" i="323"/>
  <c r="G10" i="323"/>
  <c r="G13" i="323"/>
  <c r="G15" i="323"/>
  <c r="G16" i="323"/>
  <c r="H21" i="323"/>
  <c r="G21" i="323"/>
  <c r="H22" i="323"/>
  <c r="H23" i="323"/>
  <c r="H24" i="323"/>
  <c r="H25" i="323"/>
  <c r="H26" i="323"/>
  <c r="H27" i="323"/>
  <c r="G22" i="323"/>
  <c r="G23" i="323"/>
  <c r="I23" i="323"/>
  <c r="J23" i="323" s="1"/>
  <c r="G24" i="323"/>
  <c r="G25" i="323"/>
  <c r="G27" i="323"/>
  <c r="H29" i="323"/>
  <c r="H30" i="323"/>
  <c r="H28" i="323" s="1"/>
  <c r="H8" i="272" s="1"/>
  <c r="G30" i="323"/>
  <c r="H31" i="323"/>
  <c r="H32" i="323"/>
  <c r="I32" i="323" s="1"/>
  <c r="G31" i="323"/>
  <c r="G29" i="323"/>
  <c r="G32" i="323"/>
  <c r="H34" i="323"/>
  <c r="H35" i="323"/>
  <c r="G35" i="323"/>
  <c r="I35" i="323"/>
  <c r="J35" i="323" s="1"/>
  <c r="H36" i="323"/>
  <c r="G36" i="323"/>
  <c r="H37" i="323"/>
  <c r="G37" i="323"/>
  <c r="H38" i="323"/>
  <c r="G38" i="323"/>
  <c r="H39" i="323"/>
  <c r="G39" i="323"/>
  <c r="H40" i="323"/>
  <c r="H41" i="323"/>
  <c r="G41" i="323"/>
  <c r="H42" i="323"/>
  <c r="G42" i="323"/>
  <c r="I42" i="323"/>
  <c r="H43" i="323"/>
  <c r="G43" i="323"/>
  <c r="H44" i="323"/>
  <c r="G44" i="323"/>
  <c r="H45" i="323"/>
  <c r="G45" i="323"/>
  <c r="H46" i="323"/>
  <c r="G46" i="323"/>
  <c r="I46" i="323"/>
  <c r="H48" i="323"/>
  <c r="H49" i="323"/>
  <c r="G49" i="323"/>
  <c r="H50" i="323"/>
  <c r="G50" i="323"/>
  <c r="H52" i="323"/>
  <c r="G52" i="323"/>
  <c r="G26" i="323"/>
  <c r="G34" i="323"/>
  <c r="G40" i="323"/>
  <c r="G48" i="323"/>
  <c r="J112" i="323"/>
  <c r="J113" i="323"/>
  <c r="H143" i="323"/>
  <c r="H144" i="323"/>
  <c r="I144" i="323"/>
  <c r="H145" i="323"/>
  <c r="H153" i="323"/>
  <c r="I153" i="323"/>
  <c r="H156" i="323"/>
  <c r="H157" i="323"/>
  <c r="H163" i="323"/>
  <c r="H164" i="323"/>
  <c r="H169" i="323"/>
  <c r="I169" i="323" s="1"/>
  <c r="H170" i="323"/>
  <c r="H174" i="323"/>
  <c r="H181" i="323"/>
  <c r="H198" i="323"/>
  <c r="H201" i="323"/>
  <c r="H204" i="323"/>
  <c r="J220" i="323"/>
  <c r="H169" i="330"/>
  <c r="H170" i="330"/>
  <c r="J170" i="330"/>
  <c r="H172" i="330"/>
  <c r="H173" i="330"/>
  <c r="G173" i="330"/>
  <c r="H174" i="330"/>
  <c r="H175" i="330"/>
  <c r="I175" i="330" s="1"/>
  <c r="G175" i="330"/>
  <c r="H176" i="330"/>
  <c r="G172" i="330"/>
  <c r="G174" i="330"/>
  <c r="G176" i="330"/>
  <c r="G171" i="330"/>
  <c r="H178" i="330"/>
  <c r="J178" i="330" s="1"/>
  <c r="G178" i="330"/>
  <c r="I178" i="330"/>
  <c r="H179" i="330"/>
  <c r="J179" i="330" s="1"/>
  <c r="H180" i="330"/>
  <c r="H181" i="330"/>
  <c r="J181" i="330"/>
  <c r="H182" i="330"/>
  <c r="H183" i="330"/>
  <c r="H184" i="330"/>
  <c r="H185" i="330"/>
  <c r="I185" i="330" s="1"/>
  <c r="G183" i="330"/>
  <c r="I183" i="330" s="1"/>
  <c r="G179" i="330"/>
  <c r="G180" i="330"/>
  <c r="I180" i="330" s="1"/>
  <c r="G181" i="330"/>
  <c r="G182" i="330"/>
  <c r="G184" i="330"/>
  <c r="I184" i="330" s="1"/>
  <c r="G185" i="330"/>
  <c r="H187" i="330"/>
  <c r="H186" i="330" s="1"/>
  <c r="G187" i="330"/>
  <c r="G188" i="330"/>
  <c r="H188" i="330"/>
  <c r="H190" i="330"/>
  <c r="H191" i="330"/>
  <c r="G191" i="330"/>
  <c r="I191" i="330" s="1"/>
  <c r="H192" i="330"/>
  <c r="J192" i="330" s="1"/>
  <c r="G192" i="330"/>
  <c r="G190" i="330"/>
  <c r="I190" i="330" s="1"/>
  <c r="G193" i="330"/>
  <c r="H193" i="330"/>
  <c r="I193" i="330"/>
  <c r="G194" i="330"/>
  <c r="H194" i="330"/>
  <c r="G195" i="330"/>
  <c r="H195" i="330"/>
  <c r="G196" i="330"/>
  <c r="H196" i="330"/>
  <c r="H199" i="330"/>
  <c r="H200" i="330"/>
  <c r="G200" i="330"/>
  <c r="H201" i="330"/>
  <c r="H202" i="330"/>
  <c r="G202" i="330"/>
  <c r="H203" i="330"/>
  <c r="G203" i="330"/>
  <c r="I203" i="330"/>
  <c r="H204" i="330"/>
  <c r="J204" i="330" s="1"/>
  <c r="G204" i="330"/>
  <c r="G199" i="330"/>
  <c r="I199" i="330" s="1"/>
  <c r="G201" i="330"/>
  <c r="G205" i="330"/>
  <c r="I205" i="330" s="1"/>
  <c r="H205" i="330"/>
  <c r="G206" i="330"/>
  <c r="H206" i="330"/>
  <c r="G207" i="330"/>
  <c r="H207" i="330"/>
  <c r="G208" i="330"/>
  <c r="H208" i="330"/>
  <c r="J208" i="330" s="1"/>
  <c r="H210" i="330"/>
  <c r="H211" i="330"/>
  <c r="H212" i="330"/>
  <c r="H213" i="330"/>
  <c r="I213" i="330" s="1"/>
  <c r="G213" i="330"/>
  <c r="G211" i="330"/>
  <c r="G212" i="330"/>
  <c r="G210" i="330"/>
  <c r="H215" i="330"/>
  <c r="G215" i="330"/>
  <c r="I215" i="330" s="1"/>
  <c r="G216" i="330"/>
  <c r="G217" i="330"/>
  <c r="H217" i="330"/>
  <c r="G218" i="330"/>
  <c r="G219" i="330"/>
  <c r="I219" i="330" s="1"/>
  <c r="H219" i="330"/>
  <c r="G220" i="330"/>
  <c r="H220" i="330"/>
  <c r="J220" i="330" s="1"/>
  <c r="H216" i="330"/>
  <c r="H218" i="330"/>
  <c r="H223" i="330"/>
  <c r="H224" i="330"/>
  <c r="I224" i="330" s="1"/>
  <c r="G224" i="330"/>
  <c r="H225" i="330"/>
  <c r="J225" i="330"/>
  <c r="G225" i="330"/>
  <c r="G223" i="330"/>
  <c r="I223" i="330" s="1"/>
  <c r="H227" i="330"/>
  <c r="H228" i="330"/>
  <c r="H229" i="330"/>
  <c r="I229" i="330" s="1"/>
  <c r="G229" i="330"/>
  <c r="G227" i="330"/>
  <c r="G228" i="330"/>
  <c r="H231" i="330"/>
  <c r="H232" i="330"/>
  <c r="G232" i="330"/>
  <c r="G231" i="330"/>
  <c r="G230" i="330" s="1"/>
  <c r="G233" i="330"/>
  <c r="I233" i="330" s="1"/>
  <c r="G234" i="330"/>
  <c r="H233" i="330"/>
  <c r="H234" i="330"/>
  <c r="H236" i="330"/>
  <c r="G236" i="330"/>
  <c r="H237" i="330"/>
  <c r="H238" i="330"/>
  <c r="G238" i="330"/>
  <c r="H239" i="330"/>
  <c r="G239" i="330"/>
  <c r="G237" i="330"/>
  <c r="H241" i="330"/>
  <c r="G241" i="330"/>
  <c r="H242" i="330"/>
  <c r="H240" i="330" s="1"/>
  <c r="H48" i="241" s="1"/>
  <c r="H243" i="330"/>
  <c r="G243" i="330"/>
  <c r="H244" i="330"/>
  <c r="H245" i="330"/>
  <c r="H246" i="330"/>
  <c r="G244" i="330"/>
  <c r="I244" i="330" s="1"/>
  <c r="J244" i="330" s="1"/>
  <c r="G246" i="330"/>
  <c r="G242" i="330"/>
  <c r="G245" i="330"/>
  <c r="H130" i="330"/>
  <c r="H131" i="330"/>
  <c r="H133" i="330"/>
  <c r="H134" i="330"/>
  <c r="G134" i="330"/>
  <c r="H135" i="330"/>
  <c r="G135" i="330"/>
  <c r="G133" i="330"/>
  <c r="G136" i="330"/>
  <c r="G137" i="330"/>
  <c r="G138" i="330"/>
  <c r="H138" i="330"/>
  <c r="G139" i="330"/>
  <c r="H139" i="330"/>
  <c r="G140" i="330"/>
  <c r="H140" i="330"/>
  <c r="I140" i="330"/>
  <c r="G141" i="330"/>
  <c r="H141" i="330"/>
  <c r="G142" i="330"/>
  <c r="H142" i="330"/>
  <c r="G143" i="330"/>
  <c r="H143" i="330"/>
  <c r="G144" i="330"/>
  <c r="G145" i="330"/>
  <c r="H145" i="330"/>
  <c r="H136" i="330"/>
  <c r="H137" i="330"/>
  <c r="H144" i="330"/>
  <c r="H147" i="330"/>
  <c r="H146" i="330" s="1"/>
  <c r="H150" i="330"/>
  <c r="H151" i="330"/>
  <c r="G151" i="330"/>
  <c r="H152" i="330"/>
  <c r="J152" i="330" s="1"/>
  <c r="H153" i="330"/>
  <c r="G153" i="330"/>
  <c r="I153" i="330" s="1"/>
  <c r="H154" i="330"/>
  <c r="J154" i="330"/>
  <c r="H155" i="330"/>
  <c r="G155" i="330"/>
  <c r="H156" i="330"/>
  <c r="J156" i="330" s="1"/>
  <c r="G156" i="330"/>
  <c r="H157" i="330"/>
  <c r="H158" i="330"/>
  <c r="G158" i="330"/>
  <c r="H159" i="330"/>
  <c r="J159" i="330" s="1"/>
  <c r="H160" i="330"/>
  <c r="J160" i="330" s="1"/>
  <c r="H161" i="330"/>
  <c r="J161" i="330" s="1"/>
  <c r="H162" i="330"/>
  <c r="H163" i="330"/>
  <c r="G163" i="330"/>
  <c r="I163" i="330" s="1"/>
  <c r="H164" i="330"/>
  <c r="J164" i="330" s="1"/>
  <c r="H165" i="330"/>
  <c r="G165" i="330"/>
  <c r="I165" i="330"/>
  <c r="H166" i="330"/>
  <c r="G166" i="330"/>
  <c r="I166" i="330"/>
  <c r="H167" i="330"/>
  <c r="G167" i="330"/>
  <c r="H168" i="330"/>
  <c r="J168" i="330" s="1"/>
  <c r="G168" i="330"/>
  <c r="G130" i="330"/>
  <c r="G131" i="330"/>
  <c r="G147" i="330"/>
  <c r="G150" i="330"/>
  <c r="G152" i="330"/>
  <c r="G154" i="330"/>
  <c r="G157" i="330"/>
  <c r="I157" i="330"/>
  <c r="J157" i="330"/>
  <c r="G159" i="330"/>
  <c r="G160" i="330"/>
  <c r="G161" i="330"/>
  <c r="I161" i="330" s="1"/>
  <c r="G162" i="330"/>
  <c r="G164" i="330"/>
  <c r="I164" i="330" s="1"/>
  <c r="G169" i="330"/>
  <c r="G170" i="330"/>
  <c r="H8" i="330"/>
  <c r="G8" i="330"/>
  <c r="G7" i="330" s="1"/>
  <c r="G7" i="241" s="1"/>
  <c r="G9" i="330"/>
  <c r="H9" i="330"/>
  <c r="H11" i="330"/>
  <c r="H12" i="330"/>
  <c r="H13" i="330"/>
  <c r="H14" i="330"/>
  <c r="H15" i="330"/>
  <c r="H16" i="330"/>
  <c r="H17" i="330"/>
  <c r="H18" i="330"/>
  <c r="H19" i="330"/>
  <c r="H20" i="330"/>
  <c r="H21" i="330"/>
  <c r="I21" i="330" s="1"/>
  <c r="H22" i="330"/>
  <c r="H23" i="330"/>
  <c r="G14" i="330"/>
  <c r="G18" i="330"/>
  <c r="I18" i="330" s="1"/>
  <c r="J18" i="330" s="1"/>
  <c r="G19" i="330"/>
  <c r="I19" i="330" s="1"/>
  <c r="J19" i="330" s="1"/>
  <c r="G21" i="330"/>
  <c r="G22" i="330"/>
  <c r="I22" i="330" s="1"/>
  <c r="J22" i="330" s="1"/>
  <c r="G11" i="330"/>
  <c r="G12" i="330"/>
  <c r="G13" i="330"/>
  <c r="G15" i="330"/>
  <c r="G16" i="330"/>
  <c r="G17" i="330"/>
  <c r="G20" i="330"/>
  <c r="I20" i="330" s="1"/>
  <c r="J20" i="330" s="1"/>
  <c r="G23" i="330"/>
  <c r="H25" i="330"/>
  <c r="G25" i="330"/>
  <c r="H28" i="330"/>
  <c r="G28" i="330"/>
  <c r="I28" i="330"/>
  <c r="H29" i="330"/>
  <c r="G29" i="330"/>
  <c r="H30" i="330"/>
  <c r="J30" i="330" s="1"/>
  <c r="H31" i="330"/>
  <c r="H32" i="330"/>
  <c r="H33" i="330"/>
  <c r="H34" i="330"/>
  <c r="J34" i="330"/>
  <c r="H35" i="330"/>
  <c r="G35" i="330"/>
  <c r="H36" i="330"/>
  <c r="G36" i="330"/>
  <c r="I36" i="330"/>
  <c r="J36" i="330"/>
  <c r="H37" i="330"/>
  <c r="J37" i="330"/>
  <c r="G37" i="330"/>
  <c r="H38" i="330"/>
  <c r="J38" i="330" s="1"/>
  <c r="H39" i="330"/>
  <c r="J39" i="330"/>
  <c r="H40" i="330"/>
  <c r="H41" i="330"/>
  <c r="G41" i="330"/>
  <c r="I41" i="330"/>
  <c r="H42" i="330"/>
  <c r="I42" i="330" s="1"/>
  <c r="G42" i="330"/>
  <c r="J42" i="330"/>
  <c r="H43" i="330"/>
  <c r="G43" i="330"/>
  <c r="H44" i="330"/>
  <c r="H45" i="330"/>
  <c r="G45" i="330"/>
  <c r="H46" i="330"/>
  <c r="J46" i="330" s="1"/>
  <c r="G46" i="330"/>
  <c r="H47" i="330"/>
  <c r="J47" i="330"/>
  <c r="G47" i="330"/>
  <c r="H48" i="330"/>
  <c r="J48" i="330" s="1"/>
  <c r="G48" i="330"/>
  <c r="H50" i="330"/>
  <c r="H49" i="330" s="1"/>
  <c r="H51" i="330"/>
  <c r="H52" i="330"/>
  <c r="H53" i="330"/>
  <c r="H54" i="330"/>
  <c r="G51" i="330"/>
  <c r="G52" i="330"/>
  <c r="G50" i="330"/>
  <c r="G53" i="330"/>
  <c r="G54" i="330"/>
  <c r="H56" i="330"/>
  <c r="G56" i="330"/>
  <c r="G57" i="330"/>
  <c r="H57" i="330"/>
  <c r="G58" i="330"/>
  <c r="I58" i="330" s="1"/>
  <c r="G59" i="330"/>
  <c r="G60" i="330"/>
  <c r="I60" i="330" s="1"/>
  <c r="H60" i="330"/>
  <c r="G61" i="330"/>
  <c r="H61" i="330"/>
  <c r="J61" i="330"/>
  <c r="G62" i="330"/>
  <c r="H62" i="330"/>
  <c r="G63" i="330"/>
  <c r="H58" i="330"/>
  <c r="H59" i="330"/>
  <c r="J59" i="330" s="1"/>
  <c r="H63" i="330"/>
  <c r="J63" i="330"/>
  <c r="H65" i="330"/>
  <c r="H66" i="330"/>
  <c r="J66" i="330"/>
  <c r="H68" i="330"/>
  <c r="H69" i="330"/>
  <c r="G69" i="330"/>
  <c r="I69" i="330"/>
  <c r="J69" i="330"/>
  <c r="H70" i="330"/>
  <c r="H71" i="330"/>
  <c r="J71" i="330" s="1"/>
  <c r="H72" i="330"/>
  <c r="J72" i="330" s="1"/>
  <c r="H73" i="330"/>
  <c r="H74" i="330"/>
  <c r="G74" i="330"/>
  <c r="I74" i="330" s="1"/>
  <c r="G71" i="330"/>
  <c r="I71" i="330" s="1"/>
  <c r="G72" i="330"/>
  <c r="I72" i="330" s="1"/>
  <c r="J73" i="330"/>
  <c r="H77" i="330"/>
  <c r="G77" i="330"/>
  <c r="H78" i="330"/>
  <c r="G78" i="330"/>
  <c r="G79" i="330"/>
  <c r="G80" i="330"/>
  <c r="H80" i="330"/>
  <c r="G81" i="330"/>
  <c r="H81" i="330"/>
  <c r="G82" i="330"/>
  <c r="G83" i="330"/>
  <c r="H83" i="330"/>
  <c r="G84" i="330"/>
  <c r="H84" i="330"/>
  <c r="G85" i="330"/>
  <c r="H85" i="330"/>
  <c r="J85" i="330"/>
  <c r="G86" i="330"/>
  <c r="H86" i="330"/>
  <c r="J86" i="330"/>
  <c r="H79" i="330"/>
  <c r="H82" i="330"/>
  <c r="H88" i="330"/>
  <c r="J88" i="330"/>
  <c r="H89" i="330"/>
  <c r="G89" i="330"/>
  <c r="I89" i="330" s="1"/>
  <c r="H90" i="330"/>
  <c r="G90" i="330"/>
  <c r="I90" i="330" s="1"/>
  <c r="H91" i="330"/>
  <c r="G91" i="330"/>
  <c r="H93" i="330"/>
  <c r="G93" i="330"/>
  <c r="I93" i="330" s="1"/>
  <c r="H94" i="330"/>
  <c r="J94" i="330" s="1"/>
  <c r="G94" i="330"/>
  <c r="H95" i="330"/>
  <c r="G95" i="330"/>
  <c r="I95" i="330"/>
  <c r="G96" i="330"/>
  <c r="G97" i="330"/>
  <c r="I97" i="330" s="1"/>
  <c r="G98" i="330"/>
  <c r="H96" i="330"/>
  <c r="H97" i="330"/>
  <c r="H98" i="330"/>
  <c r="J98" i="330" s="1"/>
  <c r="H101" i="330"/>
  <c r="H102" i="330"/>
  <c r="G102" i="330"/>
  <c r="G101" i="330"/>
  <c r="G103" i="330"/>
  <c r="H103" i="330"/>
  <c r="I103" i="330"/>
  <c r="H105" i="330"/>
  <c r="H106" i="330"/>
  <c r="G106" i="330"/>
  <c r="I106" i="330" s="1"/>
  <c r="H107" i="330"/>
  <c r="G107" i="330"/>
  <c r="I107" i="330"/>
  <c r="H109" i="330"/>
  <c r="G109" i="330"/>
  <c r="G110" i="330"/>
  <c r="G111" i="330"/>
  <c r="G112" i="330"/>
  <c r="H110" i="330"/>
  <c r="H111" i="330"/>
  <c r="H112" i="330"/>
  <c r="H114" i="330"/>
  <c r="J114" i="330"/>
  <c r="H115" i="330"/>
  <c r="H116" i="330"/>
  <c r="H117" i="330"/>
  <c r="G115" i="330"/>
  <c r="G116" i="330"/>
  <c r="G117" i="330"/>
  <c r="H119" i="330"/>
  <c r="J119" i="330"/>
  <c r="H120" i="330"/>
  <c r="H121" i="330"/>
  <c r="H122" i="330"/>
  <c r="H123" i="330"/>
  <c r="G123" i="330"/>
  <c r="H124" i="330"/>
  <c r="G124" i="330"/>
  <c r="I124" i="330"/>
  <c r="J124" i="330" s="1"/>
  <c r="G120" i="330"/>
  <c r="G121" i="330"/>
  <c r="G122" i="330"/>
  <c r="G30" i="330"/>
  <c r="G31" i="330"/>
  <c r="G32" i="330"/>
  <c r="G33" i="330"/>
  <c r="G34" i="330"/>
  <c r="I34" i="330"/>
  <c r="G38" i="330"/>
  <c r="I38" i="330" s="1"/>
  <c r="G39" i="330"/>
  <c r="G40" i="330"/>
  <c r="G44" i="330"/>
  <c r="G65" i="330"/>
  <c r="G66" i="330"/>
  <c r="G68" i="330"/>
  <c r="G70" i="330"/>
  <c r="G73" i="330"/>
  <c r="G88" i="330"/>
  <c r="G105" i="330"/>
  <c r="G114" i="330"/>
  <c r="G119" i="330"/>
  <c r="H77" i="242"/>
  <c r="G77" i="242"/>
  <c r="H78" i="242"/>
  <c r="I78" i="242" s="1"/>
  <c r="G78" i="242"/>
  <c r="H79" i="242"/>
  <c r="G79" i="242"/>
  <c r="G80" i="242"/>
  <c r="G81" i="242"/>
  <c r="G82" i="242"/>
  <c r="G83" i="242"/>
  <c r="G84" i="242"/>
  <c r="G85" i="242"/>
  <c r="G86" i="242"/>
  <c r="G87" i="242"/>
  <c r="G88" i="242"/>
  <c r="G89" i="242"/>
  <c r="G90" i="242"/>
  <c r="G91" i="242"/>
  <c r="G92" i="242"/>
  <c r="G93" i="242"/>
  <c r="G96" i="242"/>
  <c r="H80" i="242"/>
  <c r="I80" i="242"/>
  <c r="J80" i="242"/>
  <c r="H81" i="242"/>
  <c r="H83" i="242"/>
  <c r="I83" i="242"/>
  <c r="J83" i="242" s="1"/>
  <c r="H84" i="242"/>
  <c r="H85" i="242"/>
  <c r="I85" i="242"/>
  <c r="J85" i="242" s="1"/>
  <c r="H86" i="242"/>
  <c r="I86" i="242" s="1"/>
  <c r="J86" i="242" s="1"/>
  <c r="H87" i="242"/>
  <c r="H89" i="242"/>
  <c r="H90" i="242"/>
  <c r="I90" i="242" s="1"/>
  <c r="J90" i="242" s="1"/>
  <c r="H91" i="242"/>
  <c r="I91" i="242" s="1"/>
  <c r="H92" i="242"/>
  <c r="I92" i="242"/>
  <c r="J92" i="242" s="1"/>
  <c r="H93" i="242"/>
  <c r="I93" i="242" s="1"/>
  <c r="J93" i="242" s="1"/>
  <c r="H82" i="242"/>
  <c r="H88" i="242"/>
  <c r="H42" i="242"/>
  <c r="G42" i="242"/>
  <c r="G39" i="242"/>
  <c r="G40" i="242"/>
  <c r="G41" i="242"/>
  <c r="I41" i="242" s="1"/>
  <c r="J41" i="242" s="1"/>
  <c r="G43" i="242"/>
  <c r="G44" i="242"/>
  <c r="H40" i="242"/>
  <c r="I40" i="242" s="1"/>
  <c r="J40" i="242"/>
  <c r="H43" i="242"/>
  <c r="I43" i="242" s="1"/>
  <c r="J43" i="242" s="1"/>
  <c r="H39" i="242"/>
  <c r="H41" i="242"/>
  <c r="H44" i="242"/>
  <c r="H36" i="242"/>
  <c r="G36" i="242"/>
  <c r="H37" i="242"/>
  <c r="G37" i="242"/>
  <c r="H46" i="242"/>
  <c r="G46" i="242"/>
  <c r="H47" i="242"/>
  <c r="G47" i="242"/>
  <c r="G48" i="242"/>
  <c r="G49" i="242"/>
  <c r="G50" i="242"/>
  <c r="G51" i="242"/>
  <c r="G52" i="242"/>
  <c r="H48" i="242"/>
  <c r="I48" i="242" s="1"/>
  <c r="H51" i="242"/>
  <c r="H52" i="242"/>
  <c r="H49" i="242"/>
  <c r="I49" i="242"/>
  <c r="H50" i="242"/>
  <c r="H34" i="242"/>
  <c r="G34" i="242"/>
  <c r="H28" i="242"/>
  <c r="H29" i="242"/>
  <c r="I29" i="242" s="1"/>
  <c r="J29" i="242" s="1"/>
  <c r="G29" i="242"/>
  <c r="H30" i="242"/>
  <c r="G30" i="242"/>
  <c r="H31" i="242"/>
  <c r="G31" i="242"/>
  <c r="H32" i="242"/>
  <c r="G32" i="242"/>
  <c r="H33" i="242"/>
  <c r="G33" i="242"/>
  <c r="H35" i="242"/>
  <c r="I35" i="242" s="1"/>
  <c r="G35" i="242"/>
  <c r="H9" i="242"/>
  <c r="H10" i="242"/>
  <c r="G10" i="242"/>
  <c r="H11" i="242"/>
  <c r="J11" i="242" s="1"/>
  <c r="G11" i="242"/>
  <c r="G9" i="242"/>
  <c r="G8" i="242" s="1"/>
  <c r="G12" i="242"/>
  <c r="H12" i="242"/>
  <c r="H14" i="242"/>
  <c r="H15" i="242"/>
  <c r="G15" i="242"/>
  <c r="G14" i="242"/>
  <c r="G13" i="242" s="1"/>
  <c r="G16" i="242"/>
  <c r="H16" i="242"/>
  <c r="H18" i="242"/>
  <c r="G18" i="242"/>
  <c r="G19" i="242"/>
  <c r="H19" i="242"/>
  <c r="G20" i="242"/>
  <c r="H20" i="242"/>
  <c r="I20" i="242" s="1"/>
  <c r="G21" i="242"/>
  <c r="G22" i="242"/>
  <c r="H22" i="242"/>
  <c r="J22" i="242" s="1"/>
  <c r="G23" i="242"/>
  <c r="H23" i="242"/>
  <c r="J23" i="242"/>
  <c r="G24" i="242"/>
  <c r="H24" i="242"/>
  <c r="G26" i="242"/>
  <c r="H26" i="242"/>
  <c r="I26" i="242" s="1"/>
  <c r="J26" i="242" s="1"/>
  <c r="H21" i="242"/>
  <c r="H54" i="242"/>
  <c r="G54" i="242"/>
  <c r="H55" i="242"/>
  <c r="I55" i="242" s="1"/>
  <c r="H56" i="242"/>
  <c r="H57" i="242"/>
  <c r="H58" i="242"/>
  <c r="H59" i="242"/>
  <c r="H60" i="242"/>
  <c r="G60" i="242"/>
  <c r="I60" i="242"/>
  <c r="J60" i="242" s="1"/>
  <c r="H61" i="242"/>
  <c r="I61" i="242" s="1"/>
  <c r="J61" i="242" s="1"/>
  <c r="G61" i="242"/>
  <c r="H62" i="242"/>
  <c r="G62" i="242"/>
  <c r="I62" i="242"/>
  <c r="J62" i="242"/>
  <c r="G55" i="242"/>
  <c r="G56" i="242"/>
  <c r="G57" i="242"/>
  <c r="G58" i="242"/>
  <c r="I58" i="242" s="1"/>
  <c r="J58" i="242" s="1"/>
  <c r="G59" i="242"/>
  <c r="H64" i="242"/>
  <c r="H65" i="242"/>
  <c r="G65" i="242"/>
  <c r="H66" i="242"/>
  <c r="I66" i="242" s="1"/>
  <c r="J66" i="242" s="1"/>
  <c r="G66" i="242"/>
  <c r="H67" i="242"/>
  <c r="I67" i="242" s="1"/>
  <c r="J67" i="242" s="1"/>
  <c r="G67" i="242"/>
  <c r="H68" i="242"/>
  <c r="G68" i="242"/>
  <c r="I68" i="242" s="1"/>
  <c r="J68" i="242" s="1"/>
  <c r="G64" i="242"/>
  <c r="H70" i="242"/>
  <c r="H71" i="242"/>
  <c r="G71" i="242"/>
  <c r="H72" i="242"/>
  <c r="G72" i="242"/>
  <c r="G70" i="242"/>
  <c r="G73" i="242"/>
  <c r="H73" i="242"/>
  <c r="D7" i="177"/>
  <c r="D8" i="177"/>
  <c r="D9" i="177"/>
  <c r="D10" i="177"/>
  <c r="D11" i="177"/>
  <c r="D12" i="177"/>
  <c r="D13" i="177"/>
  <c r="K7" i="318"/>
  <c r="K8" i="318"/>
  <c r="K9" i="318"/>
  <c r="K10" i="318"/>
  <c r="K11" i="318"/>
  <c r="K12" i="318"/>
  <c r="K13" i="318"/>
  <c r="A41" i="269"/>
  <c r="A42" i="269"/>
  <c r="A43" i="269"/>
  <c r="A40" i="269"/>
  <c r="J61" i="182"/>
  <c r="J62" i="182"/>
  <c r="J63" i="182"/>
  <c r="J64" i="182"/>
  <c r="I53" i="182"/>
  <c r="I34" i="182"/>
  <c r="K120" i="330"/>
  <c r="K119" i="330"/>
  <c r="K121" i="330"/>
  <c r="K122" i="330"/>
  <c r="K123" i="330"/>
  <c r="K124" i="330"/>
  <c r="D119" i="330"/>
  <c r="D120" i="330"/>
  <c r="D121" i="330"/>
  <c r="D122" i="330"/>
  <c r="D123" i="330"/>
  <c r="D124" i="330"/>
  <c r="E119" i="330"/>
  <c r="E120" i="330"/>
  <c r="E121" i="330"/>
  <c r="E122" i="330"/>
  <c r="E123" i="330"/>
  <c r="E124" i="330"/>
  <c r="F119" i="330"/>
  <c r="F120" i="330"/>
  <c r="F121" i="330"/>
  <c r="F122" i="330"/>
  <c r="F123" i="330"/>
  <c r="F124" i="330"/>
  <c r="K115" i="330"/>
  <c r="K114" i="330"/>
  <c r="K113" i="330" s="1"/>
  <c r="K24" i="241" s="1"/>
  <c r="K116" i="330"/>
  <c r="K117" i="330"/>
  <c r="D114" i="330"/>
  <c r="E114" i="330"/>
  <c r="E113" i="330" s="1"/>
  <c r="E24" i="241" s="1"/>
  <c r="E115" i="330"/>
  <c r="E116" i="330"/>
  <c r="E117" i="330"/>
  <c r="F114" i="330"/>
  <c r="F115" i="330"/>
  <c r="F116" i="330"/>
  <c r="F117" i="330"/>
  <c r="D115" i="330"/>
  <c r="D116" i="330"/>
  <c r="D117" i="330"/>
  <c r="K110" i="330"/>
  <c r="K109" i="330"/>
  <c r="K111" i="330"/>
  <c r="K112" i="330"/>
  <c r="D109" i="330"/>
  <c r="D108" i="330" s="1"/>
  <c r="D110" i="330"/>
  <c r="D111" i="330"/>
  <c r="D112" i="330"/>
  <c r="D23" i="241"/>
  <c r="E109" i="330"/>
  <c r="E108" i="330" s="1"/>
  <c r="E110" i="330"/>
  <c r="E111" i="330"/>
  <c r="E112" i="330"/>
  <c r="F109" i="330"/>
  <c r="F110" i="330"/>
  <c r="F111" i="330"/>
  <c r="F112" i="330"/>
  <c r="F108" i="330"/>
  <c r="K106" i="330"/>
  <c r="K105" i="330"/>
  <c r="K107" i="330"/>
  <c r="D105" i="330"/>
  <c r="D106" i="330"/>
  <c r="D107" i="330"/>
  <c r="D104" i="330"/>
  <c r="E105" i="330"/>
  <c r="E106" i="330"/>
  <c r="E107" i="330"/>
  <c r="F105" i="330"/>
  <c r="F106" i="330"/>
  <c r="F107" i="330"/>
  <c r="K102" i="330"/>
  <c r="K101" i="330"/>
  <c r="K103" i="330"/>
  <c r="D101" i="330"/>
  <c r="D100" i="330" s="1"/>
  <c r="D21" i="241" s="1"/>
  <c r="D102" i="330"/>
  <c r="D103" i="330"/>
  <c r="E101" i="330"/>
  <c r="E102" i="330"/>
  <c r="E103" i="330"/>
  <c r="F101" i="330"/>
  <c r="F100" i="330" s="1"/>
  <c r="F102" i="330"/>
  <c r="F103" i="330"/>
  <c r="K94" i="330"/>
  <c r="K93" i="330"/>
  <c r="K95" i="330"/>
  <c r="K96" i="330"/>
  <c r="K97" i="330"/>
  <c r="K98" i="330"/>
  <c r="D93" i="330"/>
  <c r="D94" i="330"/>
  <c r="D95" i="330"/>
  <c r="D96" i="330"/>
  <c r="D97" i="330"/>
  <c r="D98" i="330"/>
  <c r="E93" i="330"/>
  <c r="E92" i="330" s="1"/>
  <c r="E19" i="241" s="1"/>
  <c r="E94" i="330"/>
  <c r="E95" i="330"/>
  <c r="E96" i="330"/>
  <c r="E97" i="330"/>
  <c r="E98" i="330"/>
  <c r="F93" i="330"/>
  <c r="F92" i="330" s="1"/>
  <c r="F94" i="330"/>
  <c r="F95" i="330"/>
  <c r="F96" i="330"/>
  <c r="F97" i="330"/>
  <c r="F98" i="330"/>
  <c r="K89" i="330"/>
  <c r="K88" i="330"/>
  <c r="K90" i="330"/>
  <c r="K91" i="330"/>
  <c r="D88" i="330"/>
  <c r="D89" i="330"/>
  <c r="D90" i="330"/>
  <c r="D91" i="330"/>
  <c r="E88" i="330"/>
  <c r="E89" i="330"/>
  <c r="E90" i="330"/>
  <c r="E91" i="330"/>
  <c r="F88" i="330"/>
  <c r="F89" i="330"/>
  <c r="F90" i="330"/>
  <c r="F91" i="330"/>
  <c r="K78" i="330"/>
  <c r="K77" i="330"/>
  <c r="K79" i="330"/>
  <c r="K80" i="330"/>
  <c r="K81" i="330"/>
  <c r="K82" i="330"/>
  <c r="K83" i="330"/>
  <c r="K84" i="330"/>
  <c r="K85" i="330"/>
  <c r="K86" i="330"/>
  <c r="D77" i="330"/>
  <c r="D76" i="330" s="1"/>
  <c r="D78" i="330"/>
  <c r="D79" i="330"/>
  <c r="D80" i="330"/>
  <c r="D81" i="330"/>
  <c r="D82" i="330"/>
  <c r="D83" i="330"/>
  <c r="D84" i="330"/>
  <c r="D85" i="330"/>
  <c r="D86" i="330"/>
  <c r="E77" i="330"/>
  <c r="E78" i="330"/>
  <c r="E79" i="330"/>
  <c r="E80" i="330"/>
  <c r="E76" i="330" s="1"/>
  <c r="E81" i="330"/>
  <c r="E82" i="330"/>
  <c r="E83" i="330"/>
  <c r="E84" i="330"/>
  <c r="E85" i="330"/>
  <c r="E86" i="330"/>
  <c r="F77" i="330"/>
  <c r="F78" i="330"/>
  <c r="F79" i="330"/>
  <c r="F80" i="330"/>
  <c r="F81" i="330"/>
  <c r="F82" i="330"/>
  <c r="F83" i="330"/>
  <c r="F84" i="330"/>
  <c r="F85" i="330"/>
  <c r="F86" i="330"/>
  <c r="K69" i="330"/>
  <c r="K68" i="330"/>
  <c r="K70" i="330"/>
  <c r="K71" i="330"/>
  <c r="K72" i="330"/>
  <c r="K73" i="330"/>
  <c r="K74" i="330"/>
  <c r="D68" i="330"/>
  <c r="D67" i="330" s="1"/>
  <c r="D15" i="241" s="1"/>
  <c r="D69" i="330"/>
  <c r="D70" i="330"/>
  <c r="D71" i="330"/>
  <c r="D72" i="330"/>
  <c r="D73" i="330"/>
  <c r="D74" i="330"/>
  <c r="E68" i="330"/>
  <c r="E69" i="330"/>
  <c r="E70" i="330"/>
  <c r="E71" i="330"/>
  <c r="E72" i="330"/>
  <c r="E73" i="330"/>
  <c r="E74" i="330"/>
  <c r="E67" i="330"/>
  <c r="E15" i="241" s="1"/>
  <c r="F68" i="330"/>
  <c r="F69" i="330"/>
  <c r="F70" i="330"/>
  <c r="F71" i="330"/>
  <c r="F72" i="330"/>
  <c r="F73" i="330"/>
  <c r="F74" i="330"/>
  <c r="D65" i="330"/>
  <c r="D64" i="330" s="1"/>
  <c r="D14" i="241" s="1"/>
  <c r="D66" i="330"/>
  <c r="E65" i="330"/>
  <c r="E66" i="330"/>
  <c r="F65" i="330"/>
  <c r="F66" i="330"/>
  <c r="K66" i="330"/>
  <c r="K65" i="330"/>
  <c r="K57" i="330"/>
  <c r="K56" i="330"/>
  <c r="K58" i="330"/>
  <c r="K59" i="330"/>
  <c r="K60" i="330"/>
  <c r="K61" i="330"/>
  <c r="K62" i="330"/>
  <c r="K63" i="330"/>
  <c r="D56" i="330"/>
  <c r="D57" i="330"/>
  <c r="D58" i="330"/>
  <c r="D59" i="330"/>
  <c r="D60" i="330"/>
  <c r="D61" i="330"/>
  <c r="D62" i="330"/>
  <c r="D63" i="330"/>
  <c r="D28" i="330"/>
  <c r="D29" i="330"/>
  <c r="D30" i="330"/>
  <c r="D31" i="330"/>
  <c r="D32" i="330"/>
  <c r="D33" i="330"/>
  <c r="D34" i="330"/>
  <c r="D35" i="330"/>
  <c r="D36" i="330"/>
  <c r="D37" i="330"/>
  <c r="D38" i="330"/>
  <c r="D39" i="330"/>
  <c r="D40" i="330"/>
  <c r="D41" i="330"/>
  <c r="D42" i="330"/>
  <c r="D43" i="330"/>
  <c r="D44" i="330"/>
  <c r="D45" i="330"/>
  <c r="D46" i="330"/>
  <c r="D47" i="330"/>
  <c r="D48" i="330"/>
  <c r="D50" i="330"/>
  <c r="D51" i="330"/>
  <c r="D52" i="330"/>
  <c r="D53" i="330"/>
  <c r="D49" i="330" s="1"/>
  <c r="D12" i="241" s="1"/>
  <c r="D54" i="330"/>
  <c r="E56" i="330"/>
  <c r="E57" i="330"/>
  <c r="E58" i="330"/>
  <c r="E59" i="330"/>
  <c r="E60" i="330"/>
  <c r="E61" i="330"/>
  <c r="E55" i="330" s="1"/>
  <c r="E13" i="241" s="1"/>
  <c r="E62" i="330"/>
  <c r="E63" i="330"/>
  <c r="F56" i="330"/>
  <c r="F57" i="330"/>
  <c r="F58" i="330"/>
  <c r="F59" i="330"/>
  <c r="F60" i="330"/>
  <c r="F61" i="330"/>
  <c r="F62" i="330"/>
  <c r="F63" i="330"/>
  <c r="K51" i="330"/>
  <c r="K50" i="330"/>
  <c r="K52" i="330"/>
  <c r="K53" i="330"/>
  <c r="K54" i="330"/>
  <c r="E50" i="330"/>
  <c r="E51" i="330"/>
  <c r="E52" i="330"/>
  <c r="E53" i="330"/>
  <c r="E54" i="330"/>
  <c r="E49" i="330"/>
  <c r="E12" i="241" s="1"/>
  <c r="F50" i="330"/>
  <c r="F51" i="330"/>
  <c r="F49" i="330" s="1"/>
  <c r="F12" i="241" s="1"/>
  <c r="F52" i="330"/>
  <c r="F53" i="330"/>
  <c r="F54" i="330"/>
  <c r="E29" i="330"/>
  <c r="F29" i="330"/>
  <c r="K29" i="330"/>
  <c r="K28" i="330"/>
  <c r="K30" i="330"/>
  <c r="K31" i="330"/>
  <c r="K32" i="330"/>
  <c r="K33" i="330"/>
  <c r="K34" i="330"/>
  <c r="K35" i="330"/>
  <c r="K36" i="330"/>
  <c r="K37" i="330"/>
  <c r="K38" i="330"/>
  <c r="K39" i="330"/>
  <c r="K40" i="330"/>
  <c r="K41" i="330"/>
  <c r="K42" i="330"/>
  <c r="K43" i="330"/>
  <c r="K44" i="330"/>
  <c r="K45" i="330"/>
  <c r="K46" i="330"/>
  <c r="K47" i="330"/>
  <c r="K48" i="330"/>
  <c r="E30" i="330"/>
  <c r="F30" i="330"/>
  <c r="E31" i="330"/>
  <c r="E28" i="330"/>
  <c r="E32" i="330"/>
  <c r="E33" i="330"/>
  <c r="E34" i="330"/>
  <c r="E35" i="330"/>
  <c r="E36" i="330"/>
  <c r="E37" i="330"/>
  <c r="E38" i="330"/>
  <c r="E39" i="330"/>
  <c r="E40" i="330"/>
  <c r="E41" i="330"/>
  <c r="E42" i="330"/>
  <c r="E43" i="330"/>
  <c r="E44" i="330"/>
  <c r="E45" i="330"/>
  <c r="E46" i="330"/>
  <c r="E47" i="330"/>
  <c r="E48" i="330"/>
  <c r="F31" i="330"/>
  <c r="F32" i="330"/>
  <c r="F33" i="330"/>
  <c r="F34" i="330"/>
  <c r="F35" i="330"/>
  <c r="F28" i="330"/>
  <c r="F36" i="330"/>
  <c r="F37" i="330"/>
  <c r="F38" i="330"/>
  <c r="F39" i="330"/>
  <c r="F40" i="330"/>
  <c r="F41" i="330"/>
  <c r="F42" i="330"/>
  <c r="F43" i="330"/>
  <c r="F44" i="330"/>
  <c r="F45" i="330"/>
  <c r="F46" i="330"/>
  <c r="F47" i="330"/>
  <c r="F48" i="330"/>
  <c r="K25" i="330"/>
  <c r="K24" i="330"/>
  <c r="K9" i="241"/>
  <c r="D25" i="330"/>
  <c r="D24" i="330" s="1"/>
  <c r="D9" i="241" s="1"/>
  <c r="E25" i="330"/>
  <c r="E24" i="330" s="1"/>
  <c r="E9" i="241" s="1"/>
  <c r="F25" i="330"/>
  <c r="F24" i="330"/>
  <c r="F9" i="241" s="1"/>
  <c r="K12" i="330"/>
  <c r="K13" i="330"/>
  <c r="K11" i="330"/>
  <c r="K14" i="330"/>
  <c r="K15" i="330"/>
  <c r="K16" i="330"/>
  <c r="K17" i="330"/>
  <c r="K18" i="330"/>
  <c r="K19" i="330"/>
  <c r="K20" i="330"/>
  <c r="K21" i="330"/>
  <c r="K22" i="330"/>
  <c r="K23" i="330"/>
  <c r="D11" i="330"/>
  <c r="E11" i="330"/>
  <c r="E12" i="330"/>
  <c r="E13" i="330"/>
  <c r="E14" i="330"/>
  <c r="E15" i="330"/>
  <c r="E16" i="330"/>
  <c r="E17" i="330"/>
  <c r="E18" i="330"/>
  <c r="E19" i="330"/>
  <c r="E20" i="330"/>
  <c r="E21" i="330"/>
  <c r="E22" i="330"/>
  <c r="E23" i="330"/>
  <c r="E8" i="330"/>
  <c r="E9" i="330"/>
  <c r="F11" i="330"/>
  <c r="F12" i="330"/>
  <c r="F13" i="330"/>
  <c r="F14" i="330"/>
  <c r="F15" i="330"/>
  <c r="F16" i="330"/>
  <c r="F17" i="330"/>
  <c r="F18" i="330"/>
  <c r="F19" i="330"/>
  <c r="F20" i="330"/>
  <c r="F21" i="330"/>
  <c r="F22" i="330"/>
  <c r="F23" i="330"/>
  <c r="D12" i="330"/>
  <c r="D13" i="330"/>
  <c r="D14" i="330"/>
  <c r="D15" i="330"/>
  <c r="D16" i="330"/>
  <c r="D17" i="330"/>
  <c r="D18" i="330"/>
  <c r="D19" i="330"/>
  <c r="D20" i="330"/>
  <c r="D21" i="330"/>
  <c r="D22" i="330"/>
  <c r="D23" i="330"/>
  <c r="K9" i="330"/>
  <c r="K8" i="330"/>
  <c r="K7" i="330"/>
  <c r="D9" i="330"/>
  <c r="D8" i="330"/>
  <c r="F9" i="330"/>
  <c r="F8" i="330"/>
  <c r="N17" i="175"/>
  <c r="N18" i="175"/>
  <c r="N19" i="175"/>
  <c r="N20" i="175"/>
  <c r="M18" i="175"/>
  <c r="M17" i="175"/>
  <c r="M19" i="175"/>
  <c r="M20" i="175"/>
  <c r="D17" i="175"/>
  <c r="D18" i="175"/>
  <c r="C18" i="175"/>
  <c r="E18" i="175"/>
  <c r="F18" i="175"/>
  <c r="G18" i="175"/>
  <c r="H18" i="175"/>
  <c r="I18" i="175"/>
  <c r="J18" i="175"/>
  <c r="J17" i="175"/>
  <c r="J19" i="175"/>
  <c r="J20" i="175"/>
  <c r="J21" i="175"/>
  <c r="D19" i="175"/>
  <c r="D20" i="175"/>
  <c r="C20" i="175"/>
  <c r="E20" i="175"/>
  <c r="E21" i="175" s="1"/>
  <c r="E17" i="175"/>
  <c r="E19" i="175"/>
  <c r="F20" i="175"/>
  <c r="K20" i="175" s="1"/>
  <c r="C81" i="172" s="1"/>
  <c r="B81" i="172" s="1"/>
  <c r="G20" i="175"/>
  <c r="H20" i="175"/>
  <c r="I20" i="175"/>
  <c r="I17" i="175"/>
  <c r="I19" i="175"/>
  <c r="J5" i="175"/>
  <c r="J6" i="175"/>
  <c r="J7" i="175"/>
  <c r="J8" i="175"/>
  <c r="J9" i="175"/>
  <c r="F9" i="175"/>
  <c r="G9" i="175"/>
  <c r="H9" i="175"/>
  <c r="I9" i="175"/>
  <c r="J10" i="175"/>
  <c r="J11" i="175"/>
  <c r="J12" i="175"/>
  <c r="J13" i="175"/>
  <c r="F17" i="175"/>
  <c r="F19" i="175"/>
  <c r="F5" i="175"/>
  <c r="L5" i="175" s="1"/>
  <c r="G5" i="175"/>
  <c r="H5" i="175"/>
  <c r="I5" i="175"/>
  <c r="F6" i="175"/>
  <c r="G6" i="175"/>
  <c r="H6" i="175"/>
  <c r="I6" i="175"/>
  <c r="F7" i="175"/>
  <c r="F8" i="175"/>
  <c r="F10" i="175"/>
  <c r="F11" i="175"/>
  <c r="F12" i="175"/>
  <c r="F13" i="175"/>
  <c r="C9" i="175"/>
  <c r="D9" i="175"/>
  <c r="E9" i="175"/>
  <c r="G11" i="175"/>
  <c r="C11" i="175"/>
  <c r="D11" i="175"/>
  <c r="E11" i="175"/>
  <c r="H11" i="175"/>
  <c r="I11" i="175"/>
  <c r="G12" i="175"/>
  <c r="H12" i="175"/>
  <c r="C12" i="175"/>
  <c r="D12" i="175"/>
  <c r="E12" i="175"/>
  <c r="I12" i="175"/>
  <c r="I7" i="175"/>
  <c r="I8" i="175"/>
  <c r="G8" i="175"/>
  <c r="H8" i="175"/>
  <c r="I10" i="175"/>
  <c r="G10" i="175"/>
  <c r="H10" i="175"/>
  <c r="I13" i="175"/>
  <c r="C17" i="175"/>
  <c r="C19" i="175"/>
  <c r="H17" i="175"/>
  <c r="G17" i="175"/>
  <c r="L17" i="175"/>
  <c r="H19" i="175"/>
  <c r="G19" i="175"/>
  <c r="N13" i="175"/>
  <c r="N14" i="175" s="1"/>
  <c r="L43" i="361" s="1"/>
  <c r="M6" i="175"/>
  <c r="M5" i="175"/>
  <c r="M7" i="175"/>
  <c r="M8" i="175"/>
  <c r="M9" i="175"/>
  <c r="M10" i="175"/>
  <c r="M11" i="175"/>
  <c r="M12" i="175"/>
  <c r="M13" i="175"/>
  <c r="D5" i="175"/>
  <c r="D6" i="175"/>
  <c r="D7" i="175"/>
  <c r="D8" i="175"/>
  <c r="D10" i="175"/>
  <c r="D13" i="175"/>
  <c r="C6" i="175"/>
  <c r="E6" i="175"/>
  <c r="E5" i="175"/>
  <c r="E7" i="175"/>
  <c r="E8" i="175"/>
  <c r="E10" i="175"/>
  <c r="E13" i="175"/>
  <c r="C5" i="175"/>
  <c r="C7" i="175"/>
  <c r="G7" i="175"/>
  <c r="H7" i="175"/>
  <c r="C8" i="175"/>
  <c r="C10" i="175"/>
  <c r="H13" i="175"/>
  <c r="G13" i="175"/>
  <c r="C13" i="175"/>
  <c r="I35" i="318"/>
  <c r="I36" i="318"/>
  <c r="I37" i="318"/>
  <c r="D49" i="178"/>
  <c r="D50" i="178"/>
  <c r="E50" i="174"/>
  <c r="D31" i="178"/>
  <c r="D32" i="178"/>
  <c r="D33" i="178"/>
  <c r="D34" i="178"/>
  <c r="D35" i="178"/>
  <c r="D36" i="178"/>
  <c r="D37" i="178"/>
  <c r="D58" i="182"/>
  <c r="E58" i="182"/>
  <c r="F58" i="182"/>
  <c r="G58" i="182"/>
  <c r="H58" i="182"/>
  <c r="K58" i="182"/>
  <c r="D59" i="182"/>
  <c r="C24" i="267"/>
  <c r="E59" i="182"/>
  <c r="D24" i="267" s="1"/>
  <c r="G59" i="182"/>
  <c r="F24" i="267"/>
  <c r="H59" i="182"/>
  <c r="G24" i="267"/>
  <c r="K59" i="182"/>
  <c r="J24" i="267"/>
  <c r="C59" i="182"/>
  <c r="B24" i="267"/>
  <c r="C58" i="182"/>
  <c r="K56" i="182"/>
  <c r="K55" i="182"/>
  <c r="D55" i="182"/>
  <c r="E55" i="182"/>
  <c r="G55" i="182"/>
  <c r="H55" i="182"/>
  <c r="D56" i="182"/>
  <c r="E56" i="182"/>
  <c r="F56" i="182"/>
  <c r="G56" i="182"/>
  <c r="H56" i="182"/>
  <c r="C56" i="182"/>
  <c r="C55" i="182"/>
  <c r="I71" i="268"/>
  <c r="I68" i="268"/>
  <c r="I64" i="268"/>
  <c r="I65" i="268"/>
  <c r="I220" i="324"/>
  <c r="L137" i="324"/>
  <c r="M137" i="324"/>
  <c r="N137" i="324"/>
  <c r="O137" i="324"/>
  <c r="P137" i="324"/>
  <c r="Q137" i="324"/>
  <c r="R137" i="324"/>
  <c r="S137" i="324"/>
  <c r="T137" i="324"/>
  <c r="U137" i="324"/>
  <c r="V137" i="324"/>
  <c r="W137" i="324"/>
  <c r="L138" i="324"/>
  <c r="M138" i="324"/>
  <c r="N138" i="324"/>
  <c r="O138" i="324"/>
  <c r="P138" i="324"/>
  <c r="Q138" i="324"/>
  <c r="R138" i="324"/>
  <c r="S138" i="324"/>
  <c r="T138" i="324"/>
  <c r="U138" i="324"/>
  <c r="V138" i="324"/>
  <c r="W138" i="324"/>
  <c r="L139" i="324"/>
  <c r="M139" i="324"/>
  <c r="N139" i="324"/>
  <c r="O139" i="324"/>
  <c r="P139" i="324"/>
  <c r="Q139" i="324"/>
  <c r="R139" i="324"/>
  <c r="S139" i="324"/>
  <c r="T139" i="324"/>
  <c r="U139" i="324"/>
  <c r="V139" i="324"/>
  <c r="W139" i="324"/>
  <c r="L140" i="324"/>
  <c r="M140" i="324"/>
  <c r="N140" i="324"/>
  <c r="O140" i="324"/>
  <c r="P140" i="324"/>
  <c r="Q140" i="324"/>
  <c r="R140" i="324"/>
  <c r="S140" i="324"/>
  <c r="T140" i="324"/>
  <c r="U140" i="324"/>
  <c r="V140" i="324"/>
  <c r="W140" i="324"/>
  <c r="G126" i="324"/>
  <c r="G127" i="324"/>
  <c r="D126" i="324"/>
  <c r="E126" i="324"/>
  <c r="F126" i="324"/>
  <c r="K126" i="324"/>
  <c r="D127" i="324"/>
  <c r="E127" i="324"/>
  <c r="F127" i="324"/>
  <c r="K127" i="324"/>
  <c r="I112" i="324"/>
  <c r="L73" i="324"/>
  <c r="M73" i="324"/>
  <c r="N73" i="324"/>
  <c r="O73" i="324"/>
  <c r="P73" i="324"/>
  <c r="Q73" i="324"/>
  <c r="R73" i="324"/>
  <c r="S73" i="324"/>
  <c r="T73" i="324"/>
  <c r="U73" i="324"/>
  <c r="V73" i="324"/>
  <c r="W73" i="324"/>
  <c r="L74" i="324"/>
  <c r="M74" i="324"/>
  <c r="N74" i="324"/>
  <c r="O74" i="324"/>
  <c r="P74" i="324"/>
  <c r="Q74" i="324"/>
  <c r="R74" i="324"/>
  <c r="S74" i="324"/>
  <c r="T74" i="324"/>
  <c r="U74" i="324"/>
  <c r="V74" i="324"/>
  <c r="W74" i="324"/>
  <c r="L59" i="324"/>
  <c r="M59" i="324"/>
  <c r="N59" i="324"/>
  <c r="O59" i="324"/>
  <c r="P59" i="324"/>
  <c r="Q59" i="324"/>
  <c r="R59" i="324"/>
  <c r="S59" i="324"/>
  <c r="T59" i="324"/>
  <c r="U59" i="324"/>
  <c r="V59" i="324"/>
  <c r="W59" i="324"/>
  <c r="L60" i="324"/>
  <c r="M60" i="324"/>
  <c r="N60" i="324"/>
  <c r="O60" i="324"/>
  <c r="P60" i="324"/>
  <c r="Q60" i="324"/>
  <c r="R60" i="324"/>
  <c r="S60" i="324"/>
  <c r="T60" i="324"/>
  <c r="U60" i="324"/>
  <c r="V60" i="324"/>
  <c r="W60" i="324"/>
  <c r="L61" i="324"/>
  <c r="M61" i="324"/>
  <c r="N61" i="324"/>
  <c r="O61" i="324"/>
  <c r="P61" i="324"/>
  <c r="Q61" i="324"/>
  <c r="R61" i="324"/>
  <c r="S61" i="324"/>
  <c r="T61" i="324"/>
  <c r="U61" i="324"/>
  <c r="V61" i="324"/>
  <c r="W61" i="324"/>
  <c r="L62" i="324"/>
  <c r="M62" i="324"/>
  <c r="N62" i="324"/>
  <c r="O62" i="324"/>
  <c r="P62" i="324"/>
  <c r="Q62" i="324"/>
  <c r="R62" i="324"/>
  <c r="S62" i="324"/>
  <c r="T62" i="324"/>
  <c r="U62" i="324"/>
  <c r="V62" i="324"/>
  <c r="W62" i="324"/>
  <c r="L63" i="324"/>
  <c r="M63" i="324"/>
  <c r="N63" i="324"/>
  <c r="O63" i="324"/>
  <c r="P63" i="324"/>
  <c r="Q63" i="324"/>
  <c r="R63" i="324"/>
  <c r="S63" i="324"/>
  <c r="T63" i="324"/>
  <c r="U63" i="324"/>
  <c r="V63" i="324"/>
  <c r="W63" i="324"/>
  <c r="D116" i="318"/>
  <c r="F116" i="318"/>
  <c r="G116" i="318"/>
  <c r="D96" i="318"/>
  <c r="D97" i="318" s="1"/>
  <c r="I61" i="318"/>
  <c r="I62" i="318"/>
  <c r="I63" i="318"/>
  <c r="I64" i="318"/>
  <c r="I65" i="318"/>
  <c r="I67" i="318"/>
  <c r="I70" i="318"/>
  <c r="I71" i="318"/>
  <c r="I74" i="318"/>
  <c r="I75" i="318"/>
  <c r="I57" i="318"/>
  <c r="I58" i="318"/>
  <c r="I15" i="318"/>
  <c r="J15" i="318"/>
  <c r="I16" i="318"/>
  <c r="J16" i="318" s="1"/>
  <c r="I17" i="318"/>
  <c r="J17" i="318" s="1"/>
  <c r="D8" i="318"/>
  <c r="D14" i="318" s="1"/>
  <c r="C27" i="361" s="1"/>
  <c r="D7" i="318"/>
  <c r="D9" i="318"/>
  <c r="D10" i="318"/>
  <c r="D11" i="318"/>
  <c r="D12" i="318"/>
  <c r="D13" i="318"/>
  <c r="E8" i="318"/>
  <c r="E7" i="318"/>
  <c r="E9" i="318"/>
  <c r="E10" i="318"/>
  <c r="E14" i="318" s="1"/>
  <c r="E11" i="318"/>
  <c r="E12" i="318"/>
  <c r="E13" i="318"/>
  <c r="E54" i="318"/>
  <c r="F8" i="318"/>
  <c r="F7" i="318"/>
  <c r="F9" i="318"/>
  <c r="F10" i="318"/>
  <c r="F11" i="318"/>
  <c r="F12" i="318"/>
  <c r="F13" i="318"/>
  <c r="G160" i="242"/>
  <c r="G159" i="242"/>
  <c r="I161" i="242"/>
  <c r="I163" i="242"/>
  <c r="D160" i="242"/>
  <c r="D159" i="242" s="1"/>
  <c r="E160" i="242"/>
  <c r="E159" i="242" s="1"/>
  <c r="F160" i="242"/>
  <c r="F159" i="242" s="1"/>
  <c r="K160" i="242"/>
  <c r="K159" i="242" s="1"/>
  <c r="I158" i="242"/>
  <c r="D157" i="242"/>
  <c r="D156" i="242"/>
  <c r="E157" i="242"/>
  <c r="E156" i="242"/>
  <c r="F157" i="242"/>
  <c r="F156" i="242" s="1"/>
  <c r="K157" i="242"/>
  <c r="K156" i="242"/>
  <c r="I155" i="242"/>
  <c r="D154" i="242"/>
  <c r="D153" i="242" s="1"/>
  <c r="E154" i="242"/>
  <c r="E153" i="242"/>
  <c r="F154" i="242"/>
  <c r="F153" i="242" s="1"/>
  <c r="K154" i="242"/>
  <c r="K153" i="242"/>
  <c r="I152" i="242"/>
  <c r="D151" i="242"/>
  <c r="D150" i="242"/>
  <c r="E151" i="242"/>
  <c r="E150" i="242"/>
  <c r="F151" i="242"/>
  <c r="F150" i="242"/>
  <c r="K151" i="242"/>
  <c r="K150" i="242"/>
  <c r="I149" i="242"/>
  <c r="D148" i="242"/>
  <c r="D147" i="242" s="1"/>
  <c r="E148" i="242"/>
  <c r="E147" i="242" s="1"/>
  <c r="F148" i="242"/>
  <c r="F147" i="242" s="1"/>
  <c r="K148" i="242"/>
  <c r="K147" i="242" s="1"/>
  <c r="I146" i="242"/>
  <c r="D140" i="242"/>
  <c r="D141" i="242"/>
  <c r="D142" i="242"/>
  <c r="D143" i="242"/>
  <c r="D144" i="242"/>
  <c r="D145" i="242"/>
  <c r="D138" i="242"/>
  <c r="E140" i="242"/>
  <c r="E141" i="242"/>
  <c r="E142" i="242"/>
  <c r="E143" i="242"/>
  <c r="E144" i="242"/>
  <c r="E145" i="242"/>
  <c r="E138" i="242"/>
  <c r="F140" i="242"/>
  <c r="F141" i="242"/>
  <c r="F142" i="242"/>
  <c r="F143" i="242"/>
  <c r="F144" i="242"/>
  <c r="F145" i="242"/>
  <c r="F138" i="242"/>
  <c r="K140" i="242"/>
  <c r="K141" i="242"/>
  <c r="K142" i="242"/>
  <c r="K143" i="242"/>
  <c r="K144" i="242"/>
  <c r="K145" i="242"/>
  <c r="K138" i="242"/>
  <c r="I136" i="242"/>
  <c r="D135" i="242"/>
  <c r="D134" i="242" s="1"/>
  <c r="E135" i="242"/>
  <c r="E134" i="242"/>
  <c r="F135" i="242"/>
  <c r="F134" i="242" s="1"/>
  <c r="K135" i="242"/>
  <c r="K134" i="242" s="1"/>
  <c r="D132" i="242"/>
  <c r="D131" i="242"/>
  <c r="D133" i="242"/>
  <c r="E132" i="242"/>
  <c r="E131" i="242"/>
  <c r="E130" i="242" s="1"/>
  <c r="E133" i="242"/>
  <c r="E119" i="242"/>
  <c r="E120" i="242"/>
  <c r="E121" i="242"/>
  <c r="E122" i="242"/>
  <c r="E123" i="242"/>
  <c r="E124" i="242"/>
  <c r="E125" i="242"/>
  <c r="E126" i="242"/>
  <c r="E127" i="242"/>
  <c r="E128" i="242"/>
  <c r="E129" i="242"/>
  <c r="F132" i="242"/>
  <c r="F131" i="242"/>
  <c r="F133" i="242"/>
  <c r="K132" i="242"/>
  <c r="K131" i="242"/>
  <c r="K133" i="242"/>
  <c r="F119" i="242"/>
  <c r="F120" i="242"/>
  <c r="F118" i="242" s="1"/>
  <c r="F121" i="242"/>
  <c r="F122" i="242"/>
  <c r="F123" i="242"/>
  <c r="F124" i="242"/>
  <c r="F125" i="242"/>
  <c r="F126" i="242"/>
  <c r="F127" i="242"/>
  <c r="F128" i="242"/>
  <c r="F129" i="242"/>
  <c r="D119" i="242"/>
  <c r="D120" i="242"/>
  <c r="D121" i="242"/>
  <c r="D122" i="242"/>
  <c r="D123" i="242"/>
  <c r="D124" i="242"/>
  <c r="D125" i="242"/>
  <c r="D126" i="242"/>
  <c r="D127" i="242"/>
  <c r="D128" i="242"/>
  <c r="D129" i="242"/>
  <c r="K119" i="242"/>
  <c r="K120" i="242"/>
  <c r="K121" i="242"/>
  <c r="K122" i="242"/>
  <c r="K123" i="242"/>
  <c r="K124" i="242"/>
  <c r="K125" i="242"/>
  <c r="K126" i="242"/>
  <c r="K127" i="242"/>
  <c r="K128" i="242"/>
  <c r="K129" i="242"/>
  <c r="D116" i="242"/>
  <c r="D115" i="242"/>
  <c r="D112" i="242"/>
  <c r="D113" i="242"/>
  <c r="E116" i="242"/>
  <c r="E115" i="242"/>
  <c r="E112" i="242"/>
  <c r="E113" i="242"/>
  <c r="F116" i="242"/>
  <c r="F115" i="242"/>
  <c r="K116" i="242"/>
  <c r="K115" i="242"/>
  <c r="K114" i="242"/>
  <c r="I109" i="242"/>
  <c r="F113" i="242"/>
  <c r="F112" i="242"/>
  <c r="K113" i="242"/>
  <c r="K112" i="242"/>
  <c r="G104" i="242"/>
  <c r="G105" i="242"/>
  <c r="G106" i="242"/>
  <c r="G107" i="242"/>
  <c r="D105" i="242"/>
  <c r="D104" i="242"/>
  <c r="D106" i="242"/>
  <c r="D107" i="242"/>
  <c r="D108" i="242"/>
  <c r="E105" i="242"/>
  <c r="E104" i="242"/>
  <c r="E103" i="242" s="1"/>
  <c r="E106" i="242"/>
  <c r="E107" i="242"/>
  <c r="E108" i="242"/>
  <c r="F105" i="242"/>
  <c r="F104" i="242"/>
  <c r="F106" i="242"/>
  <c r="F107" i="242"/>
  <c r="F108" i="242"/>
  <c r="K105" i="242"/>
  <c r="K106" i="242"/>
  <c r="K107" i="242"/>
  <c r="K104" i="242"/>
  <c r="K108" i="242"/>
  <c r="D101" i="242"/>
  <c r="D100" i="242"/>
  <c r="D102" i="242"/>
  <c r="E101" i="242"/>
  <c r="E100" i="242"/>
  <c r="E102" i="242"/>
  <c r="F101" i="242"/>
  <c r="F100" i="242"/>
  <c r="F102" i="242"/>
  <c r="F99" i="242"/>
  <c r="K101" i="242"/>
  <c r="K100" i="242"/>
  <c r="K99" i="242" s="1"/>
  <c r="K102" i="242"/>
  <c r="D78" i="242"/>
  <c r="E78" i="242"/>
  <c r="F78" i="242"/>
  <c r="K78" i="242"/>
  <c r="K77" i="242"/>
  <c r="K79" i="242"/>
  <c r="K80" i="242"/>
  <c r="K81" i="242"/>
  <c r="K82" i="242"/>
  <c r="K83" i="242"/>
  <c r="K84" i="242"/>
  <c r="K85" i="242"/>
  <c r="K86" i="242"/>
  <c r="K87" i="242"/>
  <c r="K88" i="242"/>
  <c r="K89" i="242"/>
  <c r="K90" i="242"/>
  <c r="K91" i="242"/>
  <c r="K92" i="242"/>
  <c r="K93" i="242"/>
  <c r="K94" i="242"/>
  <c r="K95" i="242"/>
  <c r="K96" i="242"/>
  <c r="K97" i="242"/>
  <c r="K98" i="242"/>
  <c r="D79" i="242"/>
  <c r="E79" i="242"/>
  <c r="F79" i="242"/>
  <c r="F77" i="242"/>
  <c r="F80" i="242"/>
  <c r="F81" i="242"/>
  <c r="F82" i="242"/>
  <c r="F83" i="242"/>
  <c r="F84" i="242"/>
  <c r="F85" i="242"/>
  <c r="F86" i="242"/>
  <c r="F87" i="242"/>
  <c r="F88" i="242"/>
  <c r="F89" i="242"/>
  <c r="F90" i="242"/>
  <c r="F91" i="242"/>
  <c r="F92" i="242"/>
  <c r="F93" i="242"/>
  <c r="F94" i="242"/>
  <c r="F95" i="242"/>
  <c r="F96" i="242"/>
  <c r="F97" i="242"/>
  <c r="F98" i="242"/>
  <c r="D80" i="242"/>
  <c r="E80" i="242"/>
  <c r="D81" i="242"/>
  <c r="E81" i="242"/>
  <c r="D82" i="242"/>
  <c r="E82" i="242"/>
  <c r="D83" i="242"/>
  <c r="E83" i="242"/>
  <c r="D84" i="242"/>
  <c r="E84" i="242"/>
  <c r="D85" i="242"/>
  <c r="E85" i="242"/>
  <c r="D86" i="242"/>
  <c r="E86" i="242"/>
  <c r="D87" i="242"/>
  <c r="E87" i="242"/>
  <c r="E77" i="242"/>
  <c r="E88" i="242"/>
  <c r="E89" i="242"/>
  <c r="E90" i="242"/>
  <c r="E91" i="242"/>
  <c r="E92" i="242"/>
  <c r="E93" i="242"/>
  <c r="E94" i="242"/>
  <c r="E95" i="242"/>
  <c r="E96" i="242"/>
  <c r="E97" i="242"/>
  <c r="E98" i="242"/>
  <c r="D88" i="242"/>
  <c r="D89" i="242"/>
  <c r="D90" i="242"/>
  <c r="D91" i="242"/>
  <c r="D92" i="242"/>
  <c r="D93" i="242"/>
  <c r="D94" i="242"/>
  <c r="D95" i="242"/>
  <c r="D96" i="242"/>
  <c r="D97" i="242"/>
  <c r="D98" i="242"/>
  <c r="D77" i="242"/>
  <c r="J74" i="242"/>
  <c r="D71" i="242"/>
  <c r="E71" i="242"/>
  <c r="E70" i="242"/>
  <c r="E69" i="242" s="1"/>
  <c r="E72" i="242"/>
  <c r="E73" i="242"/>
  <c r="F71" i="242"/>
  <c r="F70" i="242"/>
  <c r="F72" i="242"/>
  <c r="F73" i="242"/>
  <c r="K71" i="242"/>
  <c r="K69" i="242" s="1"/>
  <c r="K70" i="242"/>
  <c r="K72" i="242"/>
  <c r="K73" i="242"/>
  <c r="D72" i="242"/>
  <c r="D70" i="242"/>
  <c r="D73" i="242"/>
  <c r="D65" i="242"/>
  <c r="D64" i="242"/>
  <c r="D66" i="242"/>
  <c r="D67" i="242"/>
  <c r="D68" i="242"/>
  <c r="E65" i="242"/>
  <c r="E64" i="242"/>
  <c r="E63" i="242" s="1"/>
  <c r="E66" i="242"/>
  <c r="E67" i="242"/>
  <c r="E68" i="242"/>
  <c r="F65" i="242"/>
  <c r="F64" i="242"/>
  <c r="F66" i="242"/>
  <c r="F67" i="242"/>
  <c r="F68" i="242"/>
  <c r="K65" i="242"/>
  <c r="K64" i="242"/>
  <c r="K66" i="242"/>
  <c r="K67" i="242"/>
  <c r="K68" i="242"/>
  <c r="D55" i="242"/>
  <c r="E55" i="242"/>
  <c r="E54" i="242"/>
  <c r="E56" i="242"/>
  <c r="E57" i="242"/>
  <c r="E58" i="242"/>
  <c r="E59" i="242"/>
  <c r="E60" i="242"/>
  <c r="E61" i="242"/>
  <c r="E62" i="242"/>
  <c r="F55" i="242"/>
  <c r="K55" i="242"/>
  <c r="K54" i="242"/>
  <c r="K56" i="242"/>
  <c r="K57" i="242"/>
  <c r="K58" i="242"/>
  <c r="K59" i="242"/>
  <c r="K60" i="242"/>
  <c r="K61" i="242"/>
  <c r="K62" i="242"/>
  <c r="D56" i="242"/>
  <c r="D54" i="242"/>
  <c r="D57" i="242"/>
  <c r="D58" i="242"/>
  <c r="D59" i="242"/>
  <c r="D60" i="242"/>
  <c r="D61" i="242"/>
  <c r="D62" i="242"/>
  <c r="F56" i="242"/>
  <c r="F54" i="242"/>
  <c r="F57" i="242"/>
  <c r="F58" i="242"/>
  <c r="F59" i="242"/>
  <c r="F60" i="242"/>
  <c r="F61" i="242"/>
  <c r="F62" i="242"/>
  <c r="D47" i="242"/>
  <c r="D46" i="242"/>
  <c r="D48" i="242"/>
  <c r="D49" i="242"/>
  <c r="D50" i="242"/>
  <c r="D51" i="242"/>
  <c r="D52" i="242"/>
  <c r="E47" i="242"/>
  <c r="F47" i="242"/>
  <c r="K47" i="242"/>
  <c r="E48" i="242"/>
  <c r="F48" i="242"/>
  <c r="F46" i="242"/>
  <c r="F49" i="242"/>
  <c r="F50" i="242"/>
  <c r="F51" i="242"/>
  <c r="F52" i="242"/>
  <c r="K48" i="242"/>
  <c r="K46" i="242"/>
  <c r="K49" i="242"/>
  <c r="K50" i="242"/>
  <c r="K51" i="242"/>
  <c r="K52" i="242"/>
  <c r="E49" i="242"/>
  <c r="E46" i="242"/>
  <c r="E45" i="242" s="1"/>
  <c r="E50" i="242"/>
  <c r="E51" i="242"/>
  <c r="E52" i="242"/>
  <c r="D40" i="242"/>
  <c r="E40" i="242"/>
  <c r="E38" i="242" s="1"/>
  <c r="E39" i="242"/>
  <c r="E41" i="242"/>
  <c r="E42" i="242"/>
  <c r="E43" i="242"/>
  <c r="E44" i="242"/>
  <c r="F40" i="242"/>
  <c r="K40" i="242"/>
  <c r="K38" i="242" s="1"/>
  <c r="K39" i="242"/>
  <c r="K41" i="242"/>
  <c r="K42" i="242"/>
  <c r="K43" i="242"/>
  <c r="K44" i="242"/>
  <c r="D41" i="242"/>
  <c r="D39" i="242"/>
  <c r="D42" i="242"/>
  <c r="D43" i="242"/>
  <c r="D44" i="242"/>
  <c r="F41" i="242"/>
  <c r="F42" i="242"/>
  <c r="F39" i="242"/>
  <c r="F43" i="242"/>
  <c r="F44" i="242"/>
  <c r="G28" i="242"/>
  <c r="D29" i="242"/>
  <c r="E29" i="242"/>
  <c r="E28" i="242"/>
  <c r="E30" i="242"/>
  <c r="E31" i="242"/>
  <c r="E32" i="242"/>
  <c r="E33" i="242"/>
  <c r="E34" i="242"/>
  <c r="E35" i="242"/>
  <c r="E36" i="242"/>
  <c r="E37" i="242"/>
  <c r="F29" i="242"/>
  <c r="K29" i="242"/>
  <c r="K28" i="242"/>
  <c r="K30" i="242"/>
  <c r="K31" i="242"/>
  <c r="K32" i="242"/>
  <c r="K27" i="242" s="1"/>
  <c r="K33" i="242"/>
  <c r="K34" i="242"/>
  <c r="K35" i="242"/>
  <c r="K36" i="242"/>
  <c r="K37" i="242"/>
  <c r="D30" i="242"/>
  <c r="F30" i="242"/>
  <c r="D31" i="242"/>
  <c r="F31" i="242"/>
  <c r="D32" i="242"/>
  <c r="D28" i="242"/>
  <c r="D33" i="242"/>
  <c r="D34" i="242"/>
  <c r="D35" i="242"/>
  <c r="D36" i="242"/>
  <c r="D37" i="242"/>
  <c r="F32" i="242"/>
  <c r="F33" i="242"/>
  <c r="F34" i="242"/>
  <c r="F35" i="242"/>
  <c r="F28" i="242"/>
  <c r="F36" i="242"/>
  <c r="F37" i="242"/>
  <c r="D9" i="242"/>
  <c r="D10" i="242"/>
  <c r="D11" i="242"/>
  <c r="D12" i="242"/>
  <c r="D14" i="242"/>
  <c r="D15" i="242"/>
  <c r="D16" i="242"/>
  <c r="D13" i="242"/>
  <c r="D18" i="242"/>
  <c r="D19" i="242"/>
  <c r="D20" i="242"/>
  <c r="D21" i="242"/>
  <c r="D22" i="242"/>
  <c r="D23" i="242"/>
  <c r="D24" i="242"/>
  <c r="D25" i="242"/>
  <c r="D26" i="242"/>
  <c r="E19" i="242"/>
  <c r="E18" i="242"/>
  <c r="E20" i="242"/>
  <c r="E21" i="242"/>
  <c r="E22" i="242"/>
  <c r="E23" i="242"/>
  <c r="E24" i="242"/>
  <c r="E25" i="242"/>
  <c r="E26" i="242"/>
  <c r="F19" i="242"/>
  <c r="K19" i="242"/>
  <c r="K18" i="242"/>
  <c r="K20" i="242"/>
  <c r="K17" i="242" s="1"/>
  <c r="K21" i="242"/>
  <c r="K22" i="242"/>
  <c r="K23" i="242"/>
  <c r="K24" i="242"/>
  <c r="K25" i="242"/>
  <c r="K26" i="242"/>
  <c r="F20" i="242"/>
  <c r="F21" i="242"/>
  <c r="F22" i="242"/>
  <c r="F23" i="242"/>
  <c r="F18" i="242"/>
  <c r="F24" i="242"/>
  <c r="F25" i="242"/>
  <c r="F26" i="242"/>
  <c r="E15" i="242"/>
  <c r="E13" i="242" s="1"/>
  <c r="E14" i="242"/>
  <c r="E16" i="242"/>
  <c r="F15" i="242"/>
  <c r="F13" i="242" s="1"/>
  <c r="F14" i="242"/>
  <c r="F16" i="242"/>
  <c r="K15" i="242"/>
  <c r="K13" i="242" s="1"/>
  <c r="K14" i="242"/>
  <c r="K16" i="242"/>
  <c r="E11" i="242"/>
  <c r="E9" i="242"/>
  <c r="E10" i="242"/>
  <c r="E12" i="242"/>
  <c r="F11" i="242"/>
  <c r="F9" i="242"/>
  <c r="F10" i="242"/>
  <c r="F8" i="242" s="1"/>
  <c r="F12" i="242"/>
  <c r="K11" i="242"/>
  <c r="K9" i="242"/>
  <c r="K10" i="242"/>
  <c r="K12" i="242"/>
  <c r="D164" i="335"/>
  <c r="D163" i="335"/>
  <c r="E164" i="335"/>
  <c r="E163" i="335"/>
  <c r="F164" i="335"/>
  <c r="F163" i="335"/>
  <c r="I164" i="335"/>
  <c r="K164" i="335"/>
  <c r="K163" i="335" s="1"/>
  <c r="I162" i="335"/>
  <c r="I165" i="335"/>
  <c r="I168" i="335"/>
  <c r="D161" i="335"/>
  <c r="D160" i="335"/>
  <c r="E161" i="335"/>
  <c r="E160" i="335"/>
  <c r="F161" i="335"/>
  <c r="F160" i="335"/>
  <c r="K161" i="335"/>
  <c r="K160" i="335" s="1"/>
  <c r="I147" i="335"/>
  <c r="I150" i="335"/>
  <c r="I153" i="335"/>
  <c r="I156" i="335"/>
  <c r="I159" i="335"/>
  <c r="I169" i="335"/>
  <c r="D158" i="335"/>
  <c r="D157" i="335" s="1"/>
  <c r="E158" i="335"/>
  <c r="E157" i="335"/>
  <c r="F158" i="335"/>
  <c r="F157" i="335"/>
  <c r="K158" i="335"/>
  <c r="K157" i="335"/>
  <c r="D155" i="335"/>
  <c r="D154" i="335" s="1"/>
  <c r="E155" i="335"/>
  <c r="E154" i="335"/>
  <c r="F155" i="335"/>
  <c r="F154" i="335"/>
  <c r="K155" i="335"/>
  <c r="K154" i="335"/>
  <c r="D152" i="335"/>
  <c r="D151" i="335" s="1"/>
  <c r="E152" i="335"/>
  <c r="E151" i="335"/>
  <c r="F152" i="335"/>
  <c r="F151" i="335"/>
  <c r="K152" i="335"/>
  <c r="K151" i="335"/>
  <c r="D149" i="335"/>
  <c r="D148" i="335" s="1"/>
  <c r="E149" i="335"/>
  <c r="E148" i="335"/>
  <c r="F149" i="335"/>
  <c r="F148" i="335"/>
  <c r="K149" i="335"/>
  <c r="K148" i="335"/>
  <c r="D142" i="335"/>
  <c r="D140" i="335" s="1"/>
  <c r="E142" i="335"/>
  <c r="E141" i="335"/>
  <c r="E143" i="335"/>
  <c r="E144" i="335"/>
  <c r="E145" i="335"/>
  <c r="E146" i="335"/>
  <c r="E140" i="335"/>
  <c r="E139" i="335"/>
  <c r="E138" i="335" s="1"/>
  <c r="F142" i="335"/>
  <c r="F141" i="335"/>
  <c r="F143" i="335"/>
  <c r="F144" i="335"/>
  <c r="F145" i="335"/>
  <c r="F146" i="335"/>
  <c r="F140" i="335"/>
  <c r="F139" i="335"/>
  <c r="K142" i="335"/>
  <c r="K141" i="335"/>
  <c r="K143" i="335"/>
  <c r="K144" i="335"/>
  <c r="K145" i="335"/>
  <c r="K146" i="335"/>
  <c r="K140" i="335"/>
  <c r="K139" i="335"/>
  <c r="D143" i="335"/>
  <c r="D141" i="335"/>
  <c r="D144" i="335"/>
  <c r="D145" i="335"/>
  <c r="D146" i="335"/>
  <c r="D139" i="335"/>
  <c r="D136" i="335"/>
  <c r="D135" i="335"/>
  <c r="E136" i="335"/>
  <c r="E135" i="335" s="1"/>
  <c r="F136" i="335"/>
  <c r="F135" i="335"/>
  <c r="K136" i="335"/>
  <c r="K135" i="335" s="1"/>
  <c r="D132" i="335"/>
  <c r="D131" i="335"/>
  <c r="D130" i="335" s="1"/>
  <c r="D133" i="335"/>
  <c r="E132" i="335"/>
  <c r="E131" i="335"/>
  <c r="E133" i="335"/>
  <c r="E119" i="335"/>
  <c r="E120" i="335"/>
  <c r="E121" i="335"/>
  <c r="E122" i="335"/>
  <c r="E123" i="335"/>
  <c r="E124" i="335"/>
  <c r="E125" i="335"/>
  <c r="E126" i="335"/>
  <c r="E127" i="335"/>
  <c r="E128" i="335"/>
  <c r="E129" i="335"/>
  <c r="F132" i="335"/>
  <c r="K132" i="335"/>
  <c r="K130" i="335" s="1"/>
  <c r="K131" i="335"/>
  <c r="K133" i="335"/>
  <c r="F133" i="335"/>
  <c r="F131" i="335"/>
  <c r="F130" i="335"/>
  <c r="D120" i="335"/>
  <c r="D119" i="335"/>
  <c r="D121" i="335"/>
  <c r="D122" i="335"/>
  <c r="D123" i="335"/>
  <c r="D124" i="335"/>
  <c r="D125" i="335"/>
  <c r="D126" i="335"/>
  <c r="D127" i="335"/>
  <c r="D128" i="335"/>
  <c r="D129" i="335"/>
  <c r="F120" i="335"/>
  <c r="K120" i="335"/>
  <c r="K119" i="335"/>
  <c r="K121" i="335"/>
  <c r="K122" i="335"/>
  <c r="K123" i="335"/>
  <c r="K124" i="335"/>
  <c r="K125" i="335"/>
  <c r="K126" i="335"/>
  <c r="K127" i="335"/>
  <c r="K128" i="335"/>
  <c r="K129" i="335"/>
  <c r="K118" i="335"/>
  <c r="F121" i="335"/>
  <c r="F122" i="335"/>
  <c r="F123" i="335"/>
  <c r="F124" i="335"/>
  <c r="F119" i="335"/>
  <c r="F125" i="335"/>
  <c r="F126" i="335"/>
  <c r="F127" i="335"/>
  <c r="F128" i="335"/>
  <c r="F129" i="335"/>
  <c r="D116" i="335"/>
  <c r="D115" i="335"/>
  <c r="D114" i="335"/>
  <c r="D112" i="335"/>
  <c r="D113" i="335"/>
  <c r="D111" i="335"/>
  <c r="E116" i="335"/>
  <c r="E115" i="335"/>
  <c r="E114" i="335" s="1"/>
  <c r="E112" i="335"/>
  <c r="E113" i="335"/>
  <c r="E111" i="335"/>
  <c r="F116" i="335"/>
  <c r="F115" i="335"/>
  <c r="F114" i="335"/>
  <c r="I116" i="335"/>
  <c r="K116" i="335"/>
  <c r="K115" i="335"/>
  <c r="K114" i="335"/>
  <c r="K112" i="335"/>
  <c r="K113" i="335"/>
  <c r="F113" i="335"/>
  <c r="F112" i="335"/>
  <c r="F111" i="335" s="1"/>
  <c r="I113" i="335"/>
  <c r="I109" i="335"/>
  <c r="D105" i="335"/>
  <c r="D104" i="335"/>
  <c r="D106" i="335"/>
  <c r="D107" i="335"/>
  <c r="D108" i="335"/>
  <c r="E105" i="335"/>
  <c r="E104" i="335"/>
  <c r="E106" i="335"/>
  <c r="E107" i="335"/>
  <c r="E108" i="335"/>
  <c r="F105" i="335"/>
  <c r="K105" i="335"/>
  <c r="K104" i="335"/>
  <c r="K106" i="335"/>
  <c r="K107" i="335"/>
  <c r="K108" i="335"/>
  <c r="F106" i="335"/>
  <c r="F104" i="335"/>
  <c r="F107" i="335"/>
  <c r="F108" i="335"/>
  <c r="D101" i="335"/>
  <c r="D100" i="335"/>
  <c r="D99" i="335" s="1"/>
  <c r="D102" i="335"/>
  <c r="E101" i="335"/>
  <c r="E100" i="335"/>
  <c r="E99" i="335" s="1"/>
  <c r="E102" i="335"/>
  <c r="E77" i="335"/>
  <c r="E76" i="335" s="1"/>
  <c r="E75" i="335" s="1"/>
  <c r="E78" i="335"/>
  <c r="E79" i="335"/>
  <c r="E80" i="335"/>
  <c r="E81" i="335"/>
  <c r="E82" i="335"/>
  <c r="E83" i="335"/>
  <c r="E84" i="335"/>
  <c r="E85" i="335"/>
  <c r="E86" i="335"/>
  <c r="E87" i="335"/>
  <c r="E88" i="335"/>
  <c r="E89" i="335"/>
  <c r="E90" i="335"/>
  <c r="E91" i="335"/>
  <c r="E92" i="335"/>
  <c r="E93" i="335"/>
  <c r="E94" i="335"/>
  <c r="E95" i="335"/>
  <c r="E96" i="335"/>
  <c r="E97" i="335"/>
  <c r="E98" i="335"/>
  <c r="F101" i="335"/>
  <c r="F100" i="335"/>
  <c r="F102" i="335"/>
  <c r="K101" i="335"/>
  <c r="K100" i="335"/>
  <c r="K102" i="335"/>
  <c r="D78" i="335"/>
  <c r="D77" i="335"/>
  <c r="D79" i="335"/>
  <c r="D80" i="335"/>
  <c r="D81" i="335"/>
  <c r="D82" i="335"/>
  <c r="D83" i="335"/>
  <c r="D84" i="335"/>
  <c r="D85" i="335"/>
  <c r="D86" i="335"/>
  <c r="D87" i="335"/>
  <c r="D88" i="335"/>
  <c r="D89" i="335"/>
  <c r="D90" i="335"/>
  <c r="D91" i="335"/>
  <c r="D92" i="335"/>
  <c r="D93" i="335"/>
  <c r="D94" i="335"/>
  <c r="D95" i="335"/>
  <c r="D96" i="335"/>
  <c r="D97" i="335"/>
  <c r="D98" i="335"/>
  <c r="F78" i="335"/>
  <c r="K78" i="335"/>
  <c r="F79" i="335"/>
  <c r="K79" i="335"/>
  <c r="F80" i="335"/>
  <c r="K80" i="335"/>
  <c r="F81" i="335"/>
  <c r="K81" i="335"/>
  <c r="F82" i="335"/>
  <c r="F77" i="335"/>
  <c r="F83" i="335"/>
  <c r="F84" i="335"/>
  <c r="F85" i="335"/>
  <c r="F86" i="335"/>
  <c r="F87" i="335"/>
  <c r="F88" i="335"/>
  <c r="F89" i="335"/>
  <c r="F90" i="335"/>
  <c r="F91" i="335"/>
  <c r="F92" i="335"/>
  <c r="F93" i="335"/>
  <c r="F94" i="335"/>
  <c r="F95" i="335"/>
  <c r="F96" i="335"/>
  <c r="F97" i="335"/>
  <c r="F98" i="335"/>
  <c r="K82" i="335"/>
  <c r="K83" i="335"/>
  <c r="K84" i="335"/>
  <c r="K77" i="335"/>
  <c r="K85" i="335"/>
  <c r="K86" i="335"/>
  <c r="K87" i="335"/>
  <c r="K88" i="335"/>
  <c r="K89" i="335"/>
  <c r="K90" i="335"/>
  <c r="K91" i="335"/>
  <c r="K92" i="335"/>
  <c r="K93" i="335"/>
  <c r="K94" i="335"/>
  <c r="K95" i="335"/>
  <c r="K96" i="335"/>
  <c r="K97" i="335"/>
  <c r="K98" i="335"/>
  <c r="I74" i="335"/>
  <c r="D71" i="335"/>
  <c r="D69" i="335" s="1"/>
  <c r="D70" i="335"/>
  <c r="D72" i="335"/>
  <c r="D73" i="335"/>
  <c r="E71" i="335"/>
  <c r="E70" i="335"/>
  <c r="E72" i="335"/>
  <c r="E73" i="335"/>
  <c r="F71" i="335"/>
  <c r="F70" i="335"/>
  <c r="F72" i="335"/>
  <c r="F73" i="335"/>
  <c r="K71" i="335"/>
  <c r="K70" i="335"/>
  <c r="K72" i="335"/>
  <c r="K73" i="335"/>
  <c r="D65" i="335"/>
  <c r="D64" i="335"/>
  <c r="D66" i="335"/>
  <c r="D67" i="335"/>
  <c r="D68" i="335"/>
  <c r="E65" i="335"/>
  <c r="E64" i="335"/>
  <c r="E66" i="335"/>
  <c r="E67" i="335"/>
  <c r="E68" i="335"/>
  <c r="F65" i="335"/>
  <c r="F64" i="335"/>
  <c r="F66" i="335"/>
  <c r="F67" i="335"/>
  <c r="F68" i="335"/>
  <c r="K65" i="335"/>
  <c r="K64" i="335"/>
  <c r="K66" i="335"/>
  <c r="K67" i="335"/>
  <c r="K68" i="335"/>
  <c r="D55" i="335"/>
  <c r="D54" i="335"/>
  <c r="D56" i="335"/>
  <c r="D53" i="335" s="1"/>
  <c r="D57" i="335"/>
  <c r="D58" i="335"/>
  <c r="D59" i="335"/>
  <c r="D60" i="335"/>
  <c r="D61" i="335"/>
  <c r="D62" i="335"/>
  <c r="E55" i="335"/>
  <c r="E53" i="335" s="1"/>
  <c r="F55" i="335"/>
  <c r="F54" i="335"/>
  <c r="F56" i="335"/>
  <c r="F57" i="335"/>
  <c r="F58" i="335"/>
  <c r="F59" i="335"/>
  <c r="F60" i="335"/>
  <c r="F61" i="335"/>
  <c r="F62" i="335"/>
  <c r="K55" i="335"/>
  <c r="K54" i="335"/>
  <c r="K56" i="335"/>
  <c r="K57" i="335"/>
  <c r="K58" i="335"/>
  <c r="K59" i="335"/>
  <c r="K53" i="335" s="1"/>
  <c r="K60" i="335"/>
  <c r="K61" i="335"/>
  <c r="K62" i="335"/>
  <c r="E56" i="335"/>
  <c r="E54" i="335"/>
  <c r="E57" i="335"/>
  <c r="E58" i="335"/>
  <c r="E59" i="335"/>
  <c r="E60" i="335"/>
  <c r="E61" i="335"/>
  <c r="E62" i="335"/>
  <c r="D47" i="335"/>
  <c r="D46" i="335"/>
  <c r="D45" i="335" s="1"/>
  <c r="D48" i="335"/>
  <c r="D49" i="335"/>
  <c r="D50" i="335"/>
  <c r="D51" i="335"/>
  <c r="D52" i="335"/>
  <c r="E47" i="335"/>
  <c r="E46" i="335"/>
  <c r="E45" i="335" s="1"/>
  <c r="E48" i="335"/>
  <c r="E49" i="335"/>
  <c r="E50" i="335"/>
  <c r="E51" i="335"/>
  <c r="E52" i="335"/>
  <c r="F47" i="335"/>
  <c r="F46" i="335"/>
  <c r="F45" i="335" s="1"/>
  <c r="F48" i="335"/>
  <c r="F49" i="335"/>
  <c r="F50" i="335"/>
  <c r="F51" i="335"/>
  <c r="F52" i="335"/>
  <c r="K47" i="335"/>
  <c r="K46" i="335"/>
  <c r="K45" i="335" s="1"/>
  <c r="K48" i="335"/>
  <c r="K49" i="335"/>
  <c r="K50" i="335"/>
  <c r="K51" i="335"/>
  <c r="K52" i="335"/>
  <c r="D40" i="335"/>
  <c r="D39" i="335"/>
  <c r="D41" i="335"/>
  <c r="D38" i="335" s="1"/>
  <c r="D42" i="335"/>
  <c r="D43" i="335"/>
  <c r="D44" i="335"/>
  <c r="E40" i="335"/>
  <c r="F40" i="335"/>
  <c r="F39" i="335"/>
  <c r="F41" i="335"/>
  <c r="F38" i="335" s="1"/>
  <c r="F42" i="335"/>
  <c r="F43" i="335"/>
  <c r="F44" i="335"/>
  <c r="K40" i="335"/>
  <c r="K39" i="335"/>
  <c r="K41" i="335"/>
  <c r="K38" i="335" s="1"/>
  <c r="K42" i="335"/>
  <c r="K43" i="335"/>
  <c r="K44" i="335"/>
  <c r="E41" i="335"/>
  <c r="E39" i="335"/>
  <c r="E42" i="335"/>
  <c r="E43" i="335"/>
  <c r="E44" i="335"/>
  <c r="F9" i="335"/>
  <c r="F10" i="335"/>
  <c r="F11" i="335"/>
  <c r="F12" i="335"/>
  <c r="F14" i="335"/>
  <c r="F15" i="335"/>
  <c r="F16" i="335"/>
  <c r="F13" i="335"/>
  <c r="F18" i="335"/>
  <c r="F19" i="335"/>
  <c r="F20" i="335"/>
  <c r="F21" i="335"/>
  <c r="F22" i="335"/>
  <c r="F23" i="335"/>
  <c r="F24" i="335"/>
  <c r="F25" i="335"/>
  <c r="F26" i="335"/>
  <c r="F28" i="335"/>
  <c r="F29" i="335"/>
  <c r="F30" i="335"/>
  <c r="F31" i="335"/>
  <c r="F32" i="335"/>
  <c r="F33" i="335"/>
  <c r="F34" i="335"/>
  <c r="F35" i="335"/>
  <c r="F36" i="335"/>
  <c r="F37" i="335"/>
  <c r="D28" i="335"/>
  <c r="D29" i="335"/>
  <c r="D30" i="335"/>
  <c r="D31" i="335"/>
  <c r="D32" i="335"/>
  <c r="D33" i="335"/>
  <c r="D34" i="335"/>
  <c r="D35" i="335"/>
  <c r="D36" i="335"/>
  <c r="D37" i="335"/>
  <c r="E28" i="335"/>
  <c r="E29" i="335"/>
  <c r="E30" i="335"/>
  <c r="E31" i="335"/>
  <c r="E32" i="335"/>
  <c r="E33" i="335"/>
  <c r="E34" i="335"/>
  <c r="E35" i="335"/>
  <c r="E36" i="335"/>
  <c r="E37" i="335"/>
  <c r="K28" i="335"/>
  <c r="K29" i="335"/>
  <c r="K30" i="335"/>
  <c r="K31" i="335"/>
  <c r="K32" i="335"/>
  <c r="K33" i="335"/>
  <c r="K34" i="335"/>
  <c r="K35" i="335"/>
  <c r="K36" i="335"/>
  <c r="K37" i="335"/>
  <c r="K27" i="335"/>
  <c r="K9" i="335"/>
  <c r="K10" i="335"/>
  <c r="K11" i="335"/>
  <c r="K12" i="335"/>
  <c r="K14" i="335"/>
  <c r="K15" i="335"/>
  <c r="K16" i="335"/>
  <c r="K18" i="335"/>
  <c r="K19" i="335"/>
  <c r="K20" i="335"/>
  <c r="K21" i="335"/>
  <c r="K22" i="335"/>
  <c r="K23" i="335"/>
  <c r="K24" i="335"/>
  <c r="K25" i="335"/>
  <c r="K26" i="335"/>
  <c r="D18" i="335"/>
  <c r="D19" i="335"/>
  <c r="D20" i="335"/>
  <c r="D21" i="335"/>
  <c r="D22" i="335"/>
  <c r="D23" i="335"/>
  <c r="D17" i="335" s="1"/>
  <c r="D24" i="335"/>
  <c r="D25" i="335"/>
  <c r="D26" i="335"/>
  <c r="E18" i="335"/>
  <c r="E19" i="335"/>
  <c r="E20" i="335"/>
  <c r="E21" i="335"/>
  <c r="E22" i="335"/>
  <c r="E23" i="335"/>
  <c r="E24" i="335"/>
  <c r="E25" i="335"/>
  <c r="E26" i="335"/>
  <c r="D15" i="335"/>
  <c r="D14" i="335"/>
  <c r="D16" i="335"/>
  <c r="E15" i="335"/>
  <c r="E14" i="335"/>
  <c r="E16" i="335"/>
  <c r="E9" i="335"/>
  <c r="E10" i="335"/>
  <c r="E11" i="335"/>
  <c r="E12" i="335"/>
  <c r="D10" i="335"/>
  <c r="D11" i="335"/>
  <c r="D9" i="335"/>
  <c r="D8" i="335" s="1"/>
  <c r="D12" i="335"/>
  <c r="C53" i="182"/>
  <c r="D51" i="182"/>
  <c r="C22" i="267"/>
  <c r="E51" i="182"/>
  <c r="D22" i="267" s="1"/>
  <c r="F51" i="182"/>
  <c r="G51" i="182"/>
  <c r="F22" i="267" s="1"/>
  <c r="H22" i="267" s="1"/>
  <c r="I22" i="267" s="1"/>
  <c r="H51" i="182"/>
  <c r="G22" i="267"/>
  <c r="K51" i="182"/>
  <c r="J22" i="267"/>
  <c r="D37" i="182"/>
  <c r="D38" i="182"/>
  <c r="E37" i="182"/>
  <c r="E38" i="182"/>
  <c r="K37" i="182"/>
  <c r="K38" i="182"/>
  <c r="K39" i="182"/>
  <c r="K40" i="182"/>
  <c r="K41" i="182"/>
  <c r="J15" i="267" s="1"/>
  <c r="K42" i="182"/>
  <c r="K43" i="182"/>
  <c r="J17" i="267" s="1"/>
  <c r="K44" i="182"/>
  <c r="K45" i="182"/>
  <c r="K46" i="182"/>
  <c r="K47" i="182"/>
  <c r="D39" i="182"/>
  <c r="E39" i="182"/>
  <c r="D40" i="182"/>
  <c r="C14" i="267" s="1"/>
  <c r="E40" i="182"/>
  <c r="F44" i="174"/>
  <c r="D41" i="182"/>
  <c r="E42" i="174"/>
  <c r="D42" i="182"/>
  <c r="D43" i="182"/>
  <c r="C17" i="267"/>
  <c r="D44" i="182"/>
  <c r="D45" i="182"/>
  <c r="D46" i="182"/>
  <c r="D47" i="182"/>
  <c r="E41" i="182"/>
  <c r="D15" i="267" s="1"/>
  <c r="E42" i="182"/>
  <c r="E43" i="182"/>
  <c r="D17" i="267" s="1"/>
  <c r="E44" i="182"/>
  <c r="E45" i="182"/>
  <c r="E46" i="182"/>
  <c r="E47" i="182"/>
  <c r="E23" i="182"/>
  <c r="K23" i="182"/>
  <c r="E24" i="182"/>
  <c r="K24" i="182"/>
  <c r="K7" i="182"/>
  <c r="K8" i="182"/>
  <c r="K9" i="182"/>
  <c r="K10" i="182"/>
  <c r="J7" i="267"/>
  <c r="K11" i="182"/>
  <c r="K12" i="182"/>
  <c r="K13" i="182"/>
  <c r="K14" i="182"/>
  <c r="K16" i="182"/>
  <c r="K17" i="182"/>
  <c r="K18" i="182"/>
  <c r="K19" i="182"/>
  <c r="K20" i="182"/>
  <c r="K22" i="182"/>
  <c r="J6" i="267" s="1"/>
  <c r="K25" i="182"/>
  <c r="K27" i="182"/>
  <c r="K28" i="182"/>
  <c r="H56" i="174" s="1"/>
  <c r="K29" i="182"/>
  <c r="K30" i="182"/>
  <c r="K31" i="182"/>
  <c r="K32" i="182"/>
  <c r="E25" i="182"/>
  <c r="E27" i="182"/>
  <c r="E7" i="182"/>
  <c r="E8" i="182"/>
  <c r="E9" i="182"/>
  <c r="E10" i="182"/>
  <c r="E22" i="182"/>
  <c r="D6" i="267" s="1"/>
  <c r="E11" i="182"/>
  <c r="E12" i="182"/>
  <c r="E13" i="182"/>
  <c r="E14" i="182"/>
  <c r="E16" i="182"/>
  <c r="E17" i="182"/>
  <c r="E18" i="182"/>
  <c r="E19" i="182"/>
  <c r="E20" i="182"/>
  <c r="E28" i="182"/>
  <c r="F56" i="174"/>
  <c r="E29" i="182"/>
  <c r="E30" i="182"/>
  <c r="E31" i="182"/>
  <c r="E32" i="182"/>
  <c r="I21" i="182"/>
  <c r="I220" i="323"/>
  <c r="D218" i="323"/>
  <c r="D217" i="323"/>
  <c r="E218" i="323"/>
  <c r="E217" i="323"/>
  <c r="K218" i="323"/>
  <c r="K217" i="323"/>
  <c r="K216" i="323" s="1"/>
  <c r="K38" i="272"/>
  <c r="D215" i="323"/>
  <c r="D214" i="323" s="1"/>
  <c r="D37" i="272" s="1"/>
  <c r="E215" i="323"/>
  <c r="E214" i="323" s="1"/>
  <c r="E37" i="272" s="1"/>
  <c r="K215" i="323"/>
  <c r="K214" i="323"/>
  <c r="K37" i="272"/>
  <c r="D201" i="323"/>
  <c r="E201" i="323"/>
  <c r="E202" i="323"/>
  <c r="E203" i="323"/>
  <c r="E204" i="323"/>
  <c r="E205" i="323"/>
  <c r="E206" i="323"/>
  <c r="E207" i="323"/>
  <c r="E200" i="323" s="1"/>
  <c r="E36" i="272" s="1"/>
  <c r="E208" i="323"/>
  <c r="E209" i="323"/>
  <c r="E210" i="323"/>
  <c r="E211" i="323"/>
  <c r="E212" i="323"/>
  <c r="E213" i="323"/>
  <c r="K201" i="323"/>
  <c r="D202" i="323"/>
  <c r="D203" i="323"/>
  <c r="D204" i="323"/>
  <c r="D205" i="323"/>
  <c r="D206" i="323"/>
  <c r="D207" i="323"/>
  <c r="D208" i="323"/>
  <c r="D209" i="323"/>
  <c r="D210" i="323"/>
  <c r="D211" i="323"/>
  <c r="D212" i="323"/>
  <c r="D213" i="323"/>
  <c r="K202" i="323"/>
  <c r="K203" i="323"/>
  <c r="K204" i="323"/>
  <c r="K205" i="323"/>
  <c r="K206" i="323"/>
  <c r="K207" i="323"/>
  <c r="K208" i="323"/>
  <c r="K209" i="323"/>
  <c r="K210" i="323"/>
  <c r="K211" i="323"/>
  <c r="K212" i="323"/>
  <c r="K213" i="323"/>
  <c r="D198" i="323"/>
  <c r="D199" i="323"/>
  <c r="D197" i="323" s="1"/>
  <c r="D35" i="272" s="1"/>
  <c r="E198" i="323"/>
  <c r="E199" i="323"/>
  <c r="E197" i="323"/>
  <c r="E35" i="272" s="1"/>
  <c r="K198" i="323"/>
  <c r="K199" i="323"/>
  <c r="D184" i="323"/>
  <c r="D185" i="323"/>
  <c r="D186" i="323"/>
  <c r="D187" i="323"/>
  <c r="D188" i="323"/>
  <c r="D183" i="323" s="1"/>
  <c r="D189" i="323"/>
  <c r="D190" i="323"/>
  <c r="D191" i="323"/>
  <c r="D192" i="323"/>
  <c r="D193" i="323"/>
  <c r="D194" i="323"/>
  <c r="D195" i="323"/>
  <c r="D196" i="323"/>
  <c r="E184" i="323"/>
  <c r="K184" i="323"/>
  <c r="E185" i="323"/>
  <c r="E186" i="323"/>
  <c r="E187" i="323"/>
  <c r="E188" i="323"/>
  <c r="E189" i="323"/>
  <c r="E190" i="323"/>
  <c r="E191" i="323"/>
  <c r="E192" i="323"/>
  <c r="E193" i="323"/>
  <c r="E194" i="323"/>
  <c r="E195" i="323"/>
  <c r="E196" i="323"/>
  <c r="K185" i="323"/>
  <c r="K186" i="323"/>
  <c r="K187" i="323"/>
  <c r="K188" i="323"/>
  <c r="K189" i="323"/>
  <c r="K190" i="323"/>
  <c r="K191" i="323"/>
  <c r="K192" i="323"/>
  <c r="K193" i="323"/>
  <c r="K194" i="323"/>
  <c r="K195" i="323"/>
  <c r="K196" i="323"/>
  <c r="D182" i="323"/>
  <c r="D181" i="323"/>
  <c r="D180" i="323" s="1"/>
  <c r="D33" i="272"/>
  <c r="E182" i="323"/>
  <c r="E181" i="323"/>
  <c r="E180" i="323" s="1"/>
  <c r="E33" i="272" s="1"/>
  <c r="K182" i="323"/>
  <c r="K181" i="323"/>
  <c r="K180" i="323" s="1"/>
  <c r="K33" i="272" s="1"/>
  <c r="D174" i="323"/>
  <c r="D173" i="323"/>
  <c r="D175" i="323"/>
  <c r="D176" i="323"/>
  <c r="D177" i="323"/>
  <c r="D178" i="323"/>
  <c r="D179" i="323"/>
  <c r="E174" i="323"/>
  <c r="E173" i="323"/>
  <c r="E175" i="323"/>
  <c r="E176" i="323"/>
  <c r="E177" i="323"/>
  <c r="E178" i="323"/>
  <c r="E179" i="323"/>
  <c r="K174" i="323"/>
  <c r="K173" i="323"/>
  <c r="K175" i="323"/>
  <c r="K176" i="323"/>
  <c r="K177" i="323"/>
  <c r="K178" i="323"/>
  <c r="K179" i="323"/>
  <c r="D168" i="323"/>
  <c r="D167" i="323"/>
  <c r="D169" i="323"/>
  <c r="D170" i="323"/>
  <c r="D171" i="323"/>
  <c r="E168" i="323"/>
  <c r="E167" i="323"/>
  <c r="E166" i="323" s="1"/>
  <c r="E169" i="323"/>
  <c r="E170" i="323"/>
  <c r="E171" i="323"/>
  <c r="K168" i="323"/>
  <c r="K167" i="323"/>
  <c r="K166" i="323" s="1"/>
  <c r="K31" i="272" s="1"/>
  <c r="K169" i="323"/>
  <c r="K170" i="323"/>
  <c r="K171" i="323"/>
  <c r="D163" i="323"/>
  <c r="D162" i="323"/>
  <c r="D164" i="323"/>
  <c r="D165" i="323"/>
  <c r="E163" i="323"/>
  <c r="E162" i="323"/>
  <c r="E164" i="323"/>
  <c r="E165" i="323"/>
  <c r="K163" i="323"/>
  <c r="K164" i="323"/>
  <c r="K162" i="323"/>
  <c r="K165" i="323"/>
  <c r="D160" i="323"/>
  <c r="D159" i="323" s="1"/>
  <c r="D29" i="272" s="1"/>
  <c r="E160" i="323"/>
  <c r="E159" i="323"/>
  <c r="E29" i="272" s="1"/>
  <c r="K160" i="323"/>
  <c r="K159" i="323"/>
  <c r="K29" i="272"/>
  <c r="D157" i="323"/>
  <c r="D156" i="323"/>
  <c r="D155" i="323" s="1"/>
  <c r="D28" i="272" s="1"/>
  <c r="D158" i="323"/>
  <c r="E157" i="323"/>
  <c r="E156" i="323"/>
  <c r="E158" i="323"/>
  <c r="K157" i="323"/>
  <c r="K156" i="323"/>
  <c r="K155" i="323" s="1"/>
  <c r="K28" i="272" s="1"/>
  <c r="K158" i="323"/>
  <c r="L156" i="323"/>
  <c r="M156" i="323"/>
  <c r="N156" i="323"/>
  <c r="O156" i="323"/>
  <c r="P156" i="323"/>
  <c r="Q156" i="323"/>
  <c r="R156" i="323"/>
  <c r="S156" i="323"/>
  <c r="T156" i="323"/>
  <c r="U156" i="323"/>
  <c r="V156" i="323"/>
  <c r="W156" i="323"/>
  <c r="D143" i="323"/>
  <c r="D142" i="323"/>
  <c r="D141" i="323" s="1"/>
  <c r="D27" i="272" s="1"/>
  <c r="D144" i="323"/>
  <c r="D145" i="323"/>
  <c r="D146" i="323"/>
  <c r="D147" i="323"/>
  <c r="D148" i="323"/>
  <c r="D149" i="323"/>
  <c r="D150" i="323"/>
  <c r="D151" i="323"/>
  <c r="D152" i="323"/>
  <c r="D153" i="323"/>
  <c r="D154" i="323"/>
  <c r="E143" i="323"/>
  <c r="K143" i="323"/>
  <c r="K142" i="323"/>
  <c r="K141" i="323" s="1"/>
  <c r="K27" i="272" s="1"/>
  <c r="K144" i="323"/>
  <c r="K145" i="323"/>
  <c r="K146" i="323"/>
  <c r="K147" i="323"/>
  <c r="K148" i="323"/>
  <c r="K149" i="323"/>
  <c r="K150" i="323"/>
  <c r="K151" i="323"/>
  <c r="K152" i="323"/>
  <c r="K153" i="323"/>
  <c r="K154" i="323"/>
  <c r="E144" i="323"/>
  <c r="E145" i="323"/>
  <c r="E146" i="323"/>
  <c r="E147" i="323"/>
  <c r="E148" i="323"/>
  <c r="E149" i="323"/>
  <c r="E150" i="323"/>
  <c r="E142" i="323"/>
  <c r="E151" i="323"/>
  <c r="E152" i="323"/>
  <c r="E153" i="323"/>
  <c r="E154" i="323"/>
  <c r="D138" i="323"/>
  <c r="D137" i="323"/>
  <c r="D139" i="323"/>
  <c r="D140" i="323"/>
  <c r="E138" i="323"/>
  <c r="E137" i="323"/>
  <c r="E136" i="323" s="1"/>
  <c r="E26" i="272" s="1"/>
  <c r="E139" i="323"/>
  <c r="E140" i="323"/>
  <c r="K138" i="323"/>
  <c r="K137" i="323"/>
  <c r="K139" i="323"/>
  <c r="K140" i="323"/>
  <c r="D130" i="323"/>
  <c r="D129" i="323"/>
  <c r="D131" i="323"/>
  <c r="D132" i="323"/>
  <c r="D133" i="323"/>
  <c r="D134" i="323"/>
  <c r="D135" i="323"/>
  <c r="E130" i="323"/>
  <c r="E129" i="323"/>
  <c r="E131" i="323"/>
  <c r="E132" i="323"/>
  <c r="E133" i="323"/>
  <c r="E134" i="323"/>
  <c r="E135" i="323"/>
  <c r="K130" i="323"/>
  <c r="K129" i="323"/>
  <c r="K131" i="323"/>
  <c r="K132" i="323"/>
  <c r="K133" i="323"/>
  <c r="K134" i="323"/>
  <c r="K135" i="323"/>
  <c r="D116" i="323"/>
  <c r="D115" i="323"/>
  <c r="D117" i="323"/>
  <c r="D118" i="323"/>
  <c r="D119" i="323"/>
  <c r="D120" i="323"/>
  <c r="D121" i="323"/>
  <c r="D122" i="323"/>
  <c r="D123" i="323"/>
  <c r="D124" i="323"/>
  <c r="D125" i="323"/>
  <c r="D126" i="323"/>
  <c r="D127" i="323"/>
  <c r="E116" i="323"/>
  <c r="K116" i="323"/>
  <c r="E117" i="323"/>
  <c r="K117" i="323"/>
  <c r="K115" i="323"/>
  <c r="K118" i="323"/>
  <c r="K119" i="323"/>
  <c r="K120" i="323"/>
  <c r="K121" i="323"/>
  <c r="K122" i="323"/>
  <c r="K123" i="323"/>
  <c r="K124" i="323"/>
  <c r="K125" i="323"/>
  <c r="K126" i="323"/>
  <c r="K127" i="323"/>
  <c r="K114" i="323"/>
  <c r="E118" i="323"/>
  <c r="E119" i="323"/>
  <c r="E120" i="323"/>
  <c r="E121" i="323"/>
  <c r="E122" i="323"/>
  <c r="E123" i="323"/>
  <c r="E115" i="323"/>
  <c r="E124" i="323"/>
  <c r="E125" i="323"/>
  <c r="E126" i="323"/>
  <c r="E127" i="323"/>
  <c r="I112" i="323"/>
  <c r="I113" i="323"/>
  <c r="D109" i="323"/>
  <c r="D110" i="323"/>
  <c r="D108" i="323"/>
  <c r="E109" i="323"/>
  <c r="E110" i="323"/>
  <c r="F109" i="323"/>
  <c r="F110" i="323"/>
  <c r="F108" i="323"/>
  <c r="F20" i="272"/>
  <c r="K109" i="323"/>
  <c r="K110" i="323"/>
  <c r="D107" i="323"/>
  <c r="D106" i="323"/>
  <c r="D19" i="272" s="1"/>
  <c r="E107" i="323"/>
  <c r="E106" i="323"/>
  <c r="E19" i="272"/>
  <c r="F107" i="323"/>
  <c r="F106" i="323"/>
  <c r="F19" i="272" s="1"/>
  <c r="K107" i="323"/>
  <c r="K106" i="323"/>
  <c r="K19" i="272" s="1"/>
  <c r="D94" i="323"/>
  <c r="E94" i="323"/>
  <c r="E93" i="323"/>
  <c r="E95" i="323"/>
  <c r="E96" i="323"/>
  <c r="E97" i="323"/>
  <c r="E98" i="323"/>
  <c r="E99" i="323"/>
  <c r="E100" i="323"/>
  <c r="E101" i="323"/>
  <c r="E102" i="323"/>
  <c r="E103" i="323"/>
  <c r="E104" i="323"/>
  <c r="E105" i="323"/>
  <c r="F94" i="323"/>
  <c r="K94" i="323"/>
  <c r="K93" i="323"/>
  <c r="K95" i="323"/>
  <c r="K96" i="323"/>
  <c r="K97" i="323"/>
  <c r="K98" i="323"/>
  <c r="K99" i="323"/>
  <c r="K100" i="323"/>
  <c r="K101" i="323"/>
  <c r="K102" i="323"/>
  <c r="K103" i="323"/>
  <c r="K104" i="323"/>
  <c r="K105" i="323"/>
  <c r="D95" i="323"/>
  <c r="F95" i="323"/>
  <c r="D96" i="323"/>
  <c r="D93" i="323"/>
  <c r="D97" i="323"/>
  <c r="D98" i="323"/>
  <c r="D99" i="323"/>
  <c r="D100" i="323"/>
  <c r="D101" i="323"/>
  <c r="D102" i="323"/>
  <c r="D103" i="323"/>
  <c r="D104" i="323"/>
  <c r="D105" i="323"/>
  <c r="F96" i="323"/>
  <c r="F97" i="323"/>
  <c r="F93" i="323"/>
  <c r="F98" i="323"/>
  <c r="F99" i="323"/>
  <c r="F100" i="323"/>
  <c r="F101" i="323"/>
  <c r="F102" i="323"/>
  <c r="F103" i="323"/>
  <c r="F104" i="323"/>
  <c r="F105" i="323"/>
  <c r="D90" i="323"/>
  <c r="D89" i="323" s="1"/>
  <c r="D17" i="272" s="1"/>
  <c r="D91" i="323"/>
  <c r="E90" i="323"/>
  <c r="E91" i="323"/>
  <c r="F90" i="323"/>
  <c r="F91" i="323"/>
  <c r="F89" i="323" s="1"/>
  <c r="F17" i="272" s="1"/>
  <c r="K90" i="323"/>
  <c r="K91" i="323"/>
  <c r="D76" i="323"/>
  <c r="E76" i="323"/>
  <c r="E75" i="323" s="1"/>
  <c r="E16" i="272" s="1"/>
  <c r="E77" i="323"/>
  <c r="E78" i="323"/>
  <c r="E79" i="323"/>
  <c r="E80" i="323"/>
  <c r="E81" i="323"/>
  <c r="E82" i="323"/>
  <c r="E83" i="323"/>
  <c r="E84" i="323"/>
  <c r="E85" i="323"/>
  <c r="E86" i="323"/>
  <c r="E87" i="323"/>
  <c r="E88" i="323"/>
  <c r="F76" i="323"/>
  <c r="F75" i="323" s="1"/>
  <c r="F16" i="272" s="1"/>
  <c r="K76" i="323"/>
  <c r="K75" i="323" s="1"/>
  <c r="K16" i="272" s="1"/>
  <c r="D77" i="323"/>
  <c r="F77" i="323"/>
  <c r="F78" i="323"/>
  <c r="F79" i="323"/>
  <c r="F80" i="323"/>
  <c r="F81" i="323"/>
  <c r="F82" i="323"/>
  <c r="F83" i="323"/>
  <c r="F84" i="323"/>
  <c r="F85" i="323"/>
  <c r="F86" i="323"/>
  <c r="F87" i="323"/>
  <c r="F88" i="323"/>
  <c r="K77" i="323"/>
  <c r="K78" i="323"/>
  <c r="K79" i="323"/>
  <c r="K80" i="323"/>
  <c r="K81" i="323"/>
  <c r="K82" i="323"/>
  <c r="K83" i="323"/>
  <c r="K84" i="323"/>
  <c r="K85" i="323"/>
  <c r="K86" i="323"/>
  <c r="K87" i="323"/>
  <c r="K88" i="323"/>
  <c r="D78" i="323"/>
  <c r="D79" i="323"/>
  <c r="D80" i="323"/>
  <c r="D81" i="323"/>
  <c r="D82" i="323"/>
  <c r="D83" i="323"/>
  <c r="D84" i="323"/>
  <c r="D85" i="323"/>
  <c r="D86" i="323"/>
  <c r="D87" i="323"/>
  <c r="D88" i="323"/>
  <c r="D73" i="323"/>
  <c r="D74" i="323"/>
  <c r="D72" i="323" s="1"/>
  <c r="D15" i="272" s="1"/>
  <c r="E73" i="323"/>
  <c r="E74" i="323"/>
  <c r="F73" i="323"/>
  <c r="F74" i="323"/>
  <c r="K73" i="323"/>
  <c r="K74" i="323"/>
  <c r="K72" i="323" s="1"/>
  <c r="K15" i="272" s="1"/>
  <c r="D65" i="323"/>
  <c r="D66" i="323"/>
  <c r="D67" i="323"/>
  <c r="D68" i="323"/>
  <c r="D64" i="323" s="1"/>
  <c r="D14" i="272" s="1"/>
  <c r="D69" i="323"/>
  <c r="D70" i="323"/>
  <c r="D71" i="323"/>
  <c r="E65" i="323"/>
  <c r="E66" i="323"/>
  <c r="E67" i="323"/>
  <c r="E68" i="323"/>
  <c r="E69" i="323"/>
  <c r="E70" i="323"/>
  <c r="E71" i="323"/>
  <c r="F65" i="323"/>
  <c r="F66" i="323"/>
  <c r="F67" i="323"/>
  <c r="F68" i="323"/>
  <c r="F69" i="323"/>
  <c r="F70" i="323"/>
  <c r="F71" i="323"/>
  <c r="K65" i="323"/>
  <c r="K66" i="323"/>
  <c r="K67" i="323"/>
  <c r="K68" i="323"/>
  <c r="K69" i="323"/>
  <c r="K70" i="323"/>
  <c r="K71" i="323"/>
  <c r="D59" i="323"/>
  <c r="D60" i="323"/>
  <c r="D61" i="323"/>
  <c r="D62" i="323"/>
  <c r="D63" i="323"/>
  <c r="D58" i="323"/>
  <c r="D13" i="272" s="1"/>
  <c r="E59" i="323"/>
  <c r="E58" i="323" s="1"/>
  <c r="E13" i="272" s="1"/>
  <c r="E60" i="323"/>
  <c r="E61" i="323"/>
  <c r="E62" i="323"/>
  <c r="E63" i="323"/>
  <c r="F59" i="323"/>
  <c r="F60" i="323"/>
  <c r="F58" i="323" s="1"/>
  <c r="F13" i="272" s="1"/>
  <c r="F61" i="323"/>
  <c r="F62" i="323"/>
  <c r="F63" i="323"/>
  <c r="K59" i="323"/>
  <c r="K60" i="323"/>
  <c r="K61" i="323"/>
  <c r="K58" i="323" s="1"/>
  <c r="K13" i="272" s="1"/>
  <c r="K62" i="323"/>
  <c r="K63" i="323"/>
  <c r="D54" i="323"/>
  <c r="D55" i="323"/>
  <c r="D56" i="323"/>
  <c r="D57" i="323"/>
  <c r="E54" i="323"/>
  <c r="F54" i="323"/>
  <c r="F55" i="323"/>
  <c r="F53" i="323" s="1"/>
  <c r="F12" i="272" s="1"/>
  <c r="F56" i="323"/>
  <c r="F57" i="323"/>
  <c r="K54" i="323"/>
  <c r="K55" i="323"/>
  <c r="K56" i="323"/>
  <c r="K57" i="323"/>
  <c r="E55" i="323"/>
  <c r="E56" i="323"/>
  <c r="E57" i="323"/>
  <c r="D52" i="323"/>
  <c r="D51" i="323"/>
  <c r="D11" i="272"/>
  <c r="E52" i="323"/>
  <c r="E51" i="323" s="1"/>
  <c r="E11" i="272" s="1"/>
  <c r="F52" i="323"/>
  <c r="F51" i="323" s="1"/>
  <c r="F11" i="272" s="1"/>
  <c r="K52" i="323"/>
  <c r="K51" i="323"/>
  <c r="K11" i="272"/>
  <c r="L52" i="323"/>
  <c r="M52" i="323"/>
  <c r="N52" i="323"/>
  <c r="O52" i="323"/>
  <c r="P52" i="323"/>
  <c r="Q52" i="323"/>
  <c r="R52" i="323"/>
  <c r="S52" i="323"/>
  <c r="T52" i="323"/>
  <c r="U52" i="323"/>
  <c r="V52" i="323"/>
  <c r="W52" i="323"/>
  <c r="D48" i="323"/>
  <c r="D49" i="323"/>
  <c r="D50" i="323"/>
  <c r="E48" i="323"/>
  <c r="E49" i="323"/>
  <c r="E50" i="323"/>
  <c r="F48" i="323"/>
  <c r="F47" i="323" s="1"/>
  <c r="F10" i="272" s="1"/>
  <c r="F49" i="323"/>
  <c r="F50" i="323"/>
  <c r="K48" i="323"/>
  <c r="K49" i="323"/>
  <c r="K50" i="323"/>
  <c r="D34" i="323"/>
  <c r="D35" i="323"/>
  <c r="D36" i="323"/>
  <c r="D37" i="323"/>
  <c r="D38" i="323"/>
  <c r="D39" i="323"/>
  <c r="D40" i="323"/>
  <c r="D41" i="323"/>
  <c r="D42" i="323"/>
  <c r="D43" i="323"/>
  <c r="D44" i="323"/>
  <c r="D45" i="323"/>
  <c r="D46" i="323"/>
  <c r="E34" i="323"/>
  <c r="F34" i="323"/>
  <c r="F35" i="323"/>
  <c r="F36" i="323"/>
  <c r="F37" i="323"/>
  <c r="F38" i="323"/>
  <c r="F39" i="323"/>
  <c r="F40" i="323"/>
  <c r="F41" i="323"/>
  <c r="F42" i="323"/>
  <c r="F43" i="323"/>
  <c r="F44" i="323"/>
  <c r="F45" i="323"/>
  <c r="F46" i="323"/>
  <c r="K34" i="323"/>
  <c r="K35" i="323"/>
  <c r="K36" i="323"/>
  <c r="K37" i="323"/>
  <c r="K38" i="323"/>
  <c r="K39" i="323"/>
  <c r="K40" i="323"/>
  <c r="K41" i="323"/>
  <c r="K42" i="323"/>
  <c r="K43" i="323"/>
  <c r="K44" i="323"/>
  <c r="K45" i="323"/>
  <c r="K46" i="323"/>
  <c r="E35" i="323"/>
  <c r="E36" i="323"/>
  <c r="E37" i="323"/>
  <c r="E38" i="323"/>
  <c r="E39" i="323"/>
  <c r="E40" i="323"/>
  <c r="E41" i="323"/>
  <c r="E42" i="323"/>
  <c r="E43" i="323"/>
  <c r="E44" i="323"/>
  <c r="E45" i="323"/>
  <c r="E46" i="323"/>
  <c r="D29" i="323"/>
  <c r="D28" i="323" s="1"/>
  <c r="D8" i="272" s="1"/>
  <c r="D30" i="323"/>
  <c r="D31" i="323"/>
  <c r="D32" i="323"/>
  <c r="E29" i="323"/>
  <c r="E30" i="323"/>
  <c r="E31" i="323"/>
  <c r="E32" i="323"/>
  <c r="E28" i="323"/>
  <c r="E8" i="272" s="1"/>
  <c r="F29" i="323"/>
  <c r="F30" i="323"/>
  <c r="F31" i="323"/>
  <c r="F32" i="323"/>
  <c r="K29" i="323"/>
  <c r="K30" i="323"/>
  <c r="K31" i="323"/>
  <c r="K32" i="323"/>
  <c r="K21" i="323"/>
  <c r="K20" i="323" s="1"/>
  <c r="K7" i="272" s="1"/>
  <c r="K22" i="323"/>
  <c r="K23" i="323"/>
  <c r="K24" i="323"/>
  <c r="K25" i="323"/>
  <c r="K26" i="323"/>
  <c r="K27" i="323"/>
  <c r="D21" i="323"/>
  <c r="D22" i="323"/>
  <c r="D23" i="323"/>
  <c r="D24" i="323"/>
  <c r="D25" i="323"/>
  <c r="D26" i="323"/>
  <c r="D27" i="323"/>
  <c r="E21" i="323"/>
  <c r="E20" i="323" s="1"/>
  <c r="E7" i="272" s="1"/>
  <c r="E22" i="323"/>
  <c r="E23" i="323"/>
  <c r="E24" i="323"/>
  <c r="E25" i="323"/>
  <c r="E26" i="323"/>
  <c r="E27" i="323"/>
  <c r="F21" i="323"/>
  <c r="F22" i="323"/>
  <c r="F23" i="323"/>
  <c r="F24" i="323"/>
  <c r="F25" i="323"/>
  <c r="F26" i="323"/>
  <c r="F27" i="323"/>
  <c r="D7" i="323"/>
  <c r="D8" i="323"/>
  <c r="D9" i="323"/>
  <c r="D10" i="323"/>
  <c r="D11" i="323"/>
  <c r="D12" i="323"/>
  <c r="D13" i="323"/>
  <c r="D14" i="323"/>
  <c r="D15" i="323"/>
  <c r="D16" i="323"/>
  <c r="D17" i="323"/>
  <c r="D18" i="323"/>
  <c r="D19" i="323"/>
  <c r="E7" i="323"/>
  <c r="E8" i="323"/>
  <c r="E9" i="323"/>
  <c r="E10" i="323"/>
  <c r="E11" i="323"/>
  <c r="E12" i="323"/>
  <c r="E13" i="323"/>
  <c r="E14" i="323"/>
  <c r="E15" i="323"/>
  <c r="E16" i="323"/>
  <c r="E17" i="323"/>
  <c r="E18" i="323"/>
  <c r="E19" i="323"/>
  <c r="F7" i="323"/>
  <c r="K7" i="323"/>
  <c r="F8" i="323"/>
  <c r="K8" i="323"/>
  <c r="K9" i="323"/>
  <c r="K10" i="323"/>
  <c r="K11" i="323"/>
  <c r="K12" i="323"/>
  <c r="K13" i="323"/>
  <c r="K14" i="323"/>
  <c r="K15" i="323"/>
  <c r="K16" i="323"/>
  <c r="K17" i="323"/>
  <c r="K18" i="323"/>
  <c r="K19" i="323"/>
  <c r="F9" i="323"/>
  <c r="F10" i="323"/>
  <c r="F11" i="323"/>
  <c r="F12" i="323"/>
  <c r="F13" i="323"/>
  <c r="F14" i="323"/>
  <c r="F15" i="323"/>
  <c r="F16" i="323"/>
  <c r="F17" i="323"/>
  <c r="F18" i="323"/>
  <c r="F19" i="323"/>
  <c r="D130" i="330"/>
  <c r="D131" i="330"/>
  <c r="D129" i="330"/>
  <c r="D133" i="330"/>
  <c r="D134" i="330"/>
  <c r="D135" i="330"/>
  <c r="D136" i="330"/>
  <c r="D137" i="330"/>
  <c r="D138" i="330"/>
  <c r="D139" i="330"/>
  <c r="D140" i="330"/>
  <c r="D141" i="330"/>
  <c r="D142" i="330"/>
  <c r="D143" i="330"/>
  <c r="D144" i="330"/>
  <c r="D145" i="330"/>
  <c r="D147" i="330"/>
  <c r="D146" i="330"/>
  <c r="D32" i="241"/>
  <c r="E130" i="330"/>
  <c r="F130" i="330"/>
  <c r="F129" i="330" s="1"/>
  <c r="F131" i="330"/>
  <c r="K130" i="330"/>
  <c r="K131" i="330"/>
  <c r="K129" i="330"/>
  <c r="K133" i="330"/>
  <c r="K132" i="330" s="1"/>
  <c r="K31" i="241" s="1"/>
  <c r="K134" i="330"/>
  <c r="K135" i="330"/>
  <c r="K136" i="330"/>
  <c r="K137" i="330"/>
  <c r="K138" i="330"/>
  <c r="K139" i="330"/>
  <c r="K140" i="330"/>
  <c r="K141" i="330"/>
  <c r="K142" i="330"/>
  <c r="K143" i="330"/>
  <c r="K144" i="330"/>
  <c r="K145" i="330"/>
  <c r="K147" i="330"/>
  <c r="K146" i="330"/>
  <c r="K32" i="241"/>
  <c r="E131" i="330"/>
  <c r="D241" i="330"/>
  <c r="D242" i="330"/>
  <c r="D243" i="330"/>
  <c r="D244" i="330"/>
  <c r="D245" i="330"/>
  <c r="D246" i="330"/>
  <c r="D240" i="330"/>
  <c r="D48" i="241"/>
  <c r="E241" i="330"/>
  <c r="E242" i="330"/>
  <c r="E243" i="330"/>
  <c r="E244" i="330"/>
  <c r="E245" i="330"/>
  <c r="E246" i="330"/>
  <c r="F241" i="330"/>
  <c r="F240" i="330" s="1"/>
  <c r="F242" i="330"/>
  <c r="F243" i="330"/>
  <c r="F244" i="330"/>
  <c r="F245" i="330"/>
  <c r="F246" i="330"/>
  <c r="K241" i="330"/>
  <c r="K242" i="330"/>
  <c r="K243" i="330"/>
  <c r="K244" i="330"/>
  <c r="K245" i="330"/>
  <c r="K246" i="330"/>
  <c r="D236" i="330"/>
  <c r="D237" i="330"/>
  <c r="D238" i="330"/>
  <c r="D239" i="330"/>
  <c r="E236" i="330"/>
  <c r="E235" i="330" s="1"/>
  <c r="E47" i="241" s="1"/>
  <c r="E237" i="330"/>
  <c r="E238" i="330"/>
  <c r="E239" i="330"/>
  <c r="F236" i="330"/>
  <c r="F235" i="330" s="1"/>
  <c r="F47" i="241" s="1"/>
  <c r="F237" i="330"/>
  <c r="F238" i="330"/>
  <c r="F239" i="330"/>
  <c r="K236" i="330"/>
  <c r="K237" i="330"/>
  <c r="K238" i="330"/>
  <c r="K239" i="330"/>
  <c r="K235" i="330"/>
  <c r="K47" i="241"/>
  <c r="K231" i="330"/>
  <c r="K232" i="330"/>
  <c r="K233" i="330"/>
  <c r="K234" i="330"/>
  <c r="K230" i="330"/>
  <c r="K46" i="241"/>
  <c r="D231" i="330"/>
  <c r="D232" i="330"/>
  <c r="D233" i="330"/>
  <c r="D234" i="330"/>
  <c r="E231" i="330"/>
  <c r="E232" i="330"/>
  <c r="E233" i="330"/>
  <c r="E234" i="330"/>
  <c r="F231" i="330"/>
  <c r="F230" i="330" s="1"/>
  <c r="F46" i="241" s="1"/>
  <c r="F232" i="330"/>
  <c r="F233" i="330"/>
  <c r="F234" i="330"/>
  <c r="D223" i="330"/>
  <c r="D224" i="330"/>
  <c r="D225" i="330"/>
  <c r="D227" i="330"/>
  <c r="D228" i="330"/>
  <c r="D229" i="330"/>
  <c r="E227" i="330"/>
  <c r="E228" i="330"/>
  <c r="E229" i="330"/>
  <c r="F227" i="330"/>
  <c r="F226" i="330" s="1"/>
  <c r="F45" i="241" s="1"/>
  <c r="F228" i="330"/>
  <c r="F229" i="330"/>
  <c r="F223" i="330"/>
  <c r="F222" i="330" s="1"/>
  <c r="F44" i="241" s="1"/>
  <c r="F224" i="330"/>
  <c r="F225" i="330"/>
  <c r="K227" i="330"/>
  <c r="K228" i="330"/>
  <c r="K229" i="330"/>
  <c r="E223" i="330"/>
  <c r="E224" i="330"/>
  <c r="E225" i="330"/>
  <c r="K223" i="330"/>
  <c r="K224" i="330"/>
  <c r="K225" i="330"/>
  <c r="D215" i="330"/>
  <c r="D216" i="330"/>
  <c r="D217" i="330"/>
  <c r="D218" i="330"/>
  <c r="D219" i="330"/>
  <c r="D220" i="330"/>
  <c r="E215" i="330"/>
  <c r="E216" i="330"/>
  <c r="E217" i="330"/>
  <c r="E218" i="330"/>
  <c r="E219" i="330"/>
  <c r="E220" i="330"/>
  <c r="F215" i="330"/>
  <c r="F216" i="330"/>
  <c r="F217" i="330"/>
  <c r="F218" i="330"/>
  <c r="F219" i="330"/>
  <c r="F220" i="330"/>
  <c r="K215" i="330"/>
  <c r="K216" i="330"/>
  <c r="K217" i="330"/>
  <c r="K214" i="330" s="1"/>
  <c r="K42" i="241" s="1"/>
  <c r="K218" i="330"/>
  <c r="K219" i="330"/>
  <c r="K220" i="330"/>
  <c r="D210" i="330"/>
  <c r="E210" i="330"/>
  <c r="E211" i="330"/>
  <c r="E212" i="330"/>
  <c r="E213" i="330"/>
  <c r="F210" i="330"/>
  <c r="F211" i="330"/>
  <c r="F212" i="330"/>
  <c r="F213" i="330"/>
  <c r="K210" i="330"/>
  <c r="K211" i="330"/>
  <c r="K212" i="330"/>
  <c r="K213" i="330"/>
  <c r="D211" i="330"/>
  <c r="D212" i="330"/>
  <c r="D213" i="330"/>
  <c r="D199" i="330"/>
  <c r="E199" i="330"/>
  <c r="F199" i="330"/>
  <c r="F200" i="330"/>
  <c r="F201" i="330"/>
  <c r="F202" i="330"/>
  <c r="F203" i="330"/>
  <c r="F204" i="330"/>
  <c r="F205" i="330"/>
  <c r="F206" i="330"/>
  <c r="F207" i="330"/>
  <c r="F208" i="330"/>
  <c r="K199" i="330"/>
  <c r="K200" i="330"/>
  <c r="K201" i="330"/>
  <c r="K202" i="330"/>
  <c r="K203" i="330"/>
  <c r="K204" i="330"/>
  <c r="K205" i="330"/>
  <c r="K206" i="330"/>
  <c r="K207" i="330"/>
  <c r="K208" i="330"/>
  <c r="D200" i="330"/>
  <c r="D198" i="330" s="1"/>
  <c r="D40" i="241" s="1"/>
  <c r="E200" i="330"/>
  <c r="E201" i="330"/>
  <c r="E202" i="330"/>
  <c r="E203" i="330"/>
  <c r="E204" i="330"/>
  <c r="E205" i="330"/>
  <c r="E206" i="330"/>
  <c r="E207" i="330"/>
  <c r="E208" i="330"/>
  <c r="D201" i="330"/>
  <c r="D202" i="330"/>
  <c r="D203" i="330"/>
  <c r="D204" i="330"/>
  <c r="D205" i="330"/>
  <c r="D206" i="330"/>
  <c r="D207" i="330"/>
  <c r="D208" i="330"/>
  <c r="D190" i="330"/>
  <c r="D191" i="330"/>
  <c r="D192" i="330"/>
  <c r="D193" i="330"/>
  <c r="D194" i="330"/>
  <c r="D195" i="330"/>
  <c r="D196" i="330"/>
  <c r="E190" i="330"/>
  <c r="E191" i="330"/>
  <c r="E192" i="330"/>
  <c r="E193" i="330"/>
  <c r="E194" i="330"/>
  <c r="E195" i="330"/>
  <c r="E196" i="330"/>
  <c r="F190" i="330"/>
  <c r="F191" i="330"/>
  <c r="F192" i="330"/>
  <c r="F193" i="330"/>
  <c r="F194" i="330"/>
  <c r="F195" i="330"/>
  <c r="F196" i="330"/>
  <c r="K190" i="330"/>
  <c r="K191" i="330"/>
  <c r="K192" i="330"/>
  <c r="K193" i="330"/>
  <c r="K189" i="330" s="1"/>
  <c r="K38" i="241" s="1"/>
  <c r="K194" i="330"/>
  <c r="K195" i="330"/>
  <c r="K196" i="330"/>
  <c r="D187" i="330"/>
  <c r="D188" i="330"/>
  <c r="E187" i="330"/>
  <c r="E188" i="330"/>
  <c r="F187" i="330"/>
  <c r="F186" i="330" s="1"/>
  <c r="F188" i="330"/>
  <c r="K187" i="330"/>
  <c r="K188" i="330"/>
  <c r="K186" i="330"/>
  <c r="K37" i="241"/>
  <c r="D178" i="330"/>
  <c r="D179" i="330"/>
  <c r="D177" i="330" s="1"/>
  <c r="D36" i="241" s="1"/>
  <c r="D180" i="330"/>
  <c r="D181" i="330"/>
  <c r="D182" i="330"/>
  <c r="D183" i="330"/>
  <c r="D184" i="330"/>
  <c r="D185" i="330"/>
  <c r="E178" i="330"/>
  <c r="F178" i="330"/>
  <c r="F179" i="330"/>
  <c r="F177" i="330" s="1"/>
  <c r="F36" i="241" s="1"/>
  <c r="F180" i="330"/>
  <c r="F181" i="330"/>
  <c r="F182" i="330"/>
  <c r="F183" i="330"/>
  <c r="F184" i="330"/>
  <c r="F185" i="330"/>
  <c r="K178" i="330"/>
  <c r="E179" i="330"/>
  <c r="K179" i="330"/>
  <c r="K180" i="330"/>
  <c r="K181" i="330"/>
  <c r="K182" i="330"/>
  <c r="K183" i="330"/>
  <c r="K184" i="330"/>
  <c r="K185" i="330"/>
  <c r="E180" i="330"/>
  <c r="E181" i="330"/>
  <c r="E182" i="330"/>
  <c r="E183" i="330"/>
  <c r="E177" i="330" s="1"/>
  <c r="E36" i="241" s="1"/>
  <c r="E184" i="330"/>
  <c r="E185" i="330"/>
  <c r="D172" i="330"/>
  <c r="D173" i="330"/>
  <c r="D174" i="330"/>
  <c r="D175" i="330"/>
  <c r="D176" i="330"/>
  <c r="D171" i="330"/>
  <c r="D35" i="241" s="1"/>
  <c r="E172" i="330"/>
  <c r="E173" i="330"/>
  <c r="E174" i="330"/>
  <c r="E175" i="330"/>
  <c r="E176" i="330"/>
  <c r="F172" i="330"/>
  <c r="F173" i="330"/>
  <c r="F174" i="330"/>
  <c r="F175" i="330"/>
  <c r="F176" i="330"/>
  <c r="K172" i="330"/>
  <c r="K173" i="330"/>
  <c r="K174" i="330"/>
  <c r="K175" i="330"/>
  <c r="K176" i="330"/>
  <c r="D150" i="330"/>
  <c r="D151" i="330"/>
  <c r="D152" i="330"/>
  <c r="D153" i="330"/>
  <c r="D154" i="330"/>
  <c r="D155" i="330"/>
  <c r="D156" i="330"/>
  <c r="D157" i="330"/>
  <c r="D158" i="330"/>
  <c r="D159" i="330"/>
  <c r="D160" i="330"/>
  <c r="D161" i="330"/>
  <c r="D162" i="330"/>
  <c r="D163" i="330"/>
  <c r="D164" i="330"/>
  <c r="D165" i="330"/>
  <c r="D166" i="330"/>
  <c r="D167" i="330"/>
  <c r="D168" i="330"/>
  <c r="D169" i="330"/>
  <c r="D170" i="330"/>
  <c r="E150" i="330"/>
  <c r="E151" i="330"/>
  <c r="E152" i="330"/>
  <c r="E153" i="330"/>
  <c r="E154" i="330"/>
  <c r="E155" i="330"/>
  <c r="E156" i="330"/>
  <c r="E157" i="330"/>
  <c r="E158" i="330"/>
  <c r="E159" i="330"/>
  <c r="E160" i="330"/>
  <c r="E161" i="330"/>
  <c r="E162" i="330"/>
  <c r="E163" i="330"/>
  <c r="E164" i="330"/>
  <c r="E165" i="330"/>
  <c r="E166" i="330"/>
  <c r="E167" i="330"/>
  <c r="E168" i="330"/>
  <c r="E169" i="330"/>
  <c r="E170" i="330"/>
  <c r="F150" i="330"/>
  <c r="F151" i="330"/>
  <c r="F152" i="330"/>
  <c r="F153" i="330"/>
  <c r="F154" i="330"/>
  <c r="F155" i="330"/>
  <c r="F156" i="330"/>
  <c r="F157" i="330"/>
  <c r="F158" i="330"/>
  <c r="F159" i="330"/>
  <c r="F160" i="330"/>
  <c r="F161" i="330"/>
  <c r="F162" i="330"/>
  <c r="F163" i="330"/>
  <c r="F164" i="330"/>
  <c r="F165" i="330"/>
  <c r="F166" i="330"/>
  <c r="F167" i="330"/>
  <c r="F168" i="330"/>
  <c r="F169" i="330"/>
  <c r="F170" i="330"/>
  <c r="K150" i="330"/>
  <c r="K151" i="330"/>
  <c r="K152" i="330"/>
  <c r="K153" i="330"/>
  <c r="K154" i="330"/>
  <c r="K155" i="330"/>
  <c r="K156" i="330"/>
  <c r="K157" i="330"/>
  <c r="K158" i="330"/>
  <c r="K159" i="330"/>
  <c r="K160" i="330"/>
  <c r="K161" i="330"/>
  <c r="K162" i="330"/>
  <c r="K163" i="330"/>
  <c r="K164" i="330"/>
  <c r="K165" i="330"/>
  <c r="K166" i="330"/>
  <c r="K167" i="330"/>
  <c r="K168" i="330"/>
  <c r="K169" i="330"/>
  <c r="K170" i="330"/>
  <c r="E147" i="330"/>
  <c r="E146" i="330"/>
  <c r="E32" i="241" s="1"/>
  <c r="F147" i="330"/>
  <c r="F146" i="330"/>
  <c r="F32" i="241"/>
  <c r="E133" i="330"/>
  <c r="F133" i="330"/>
  <c r="E134" i="330"/>
  <c r="E135" i="330"/>
  <c r="E136" i="330"/>
  <c r="E137" i="330"/>
  <c r="E138" i="330"/>
  <c r="E139" i="330"/>
  <c r="E140" i="330"/>
  <c r="E141" i="330"/>
  <c r="E142" i="330"/>
  <c r="E143" i="330"/>
  <c r="E144" i="330"/>
  <c r="E145" i="330"/>
  <c r="F134" i="330"/>
  <c r="F135" i="330"/>
  <c r="F136" i="330"/>
  <c r="F137" i="330"/>
  <c r="F138" i="330"/>
  <c r="F139" i="330"/>
  <c r="F140" i="330"/>
  <c r="F141" i="330"/>
  <c r="F142" i="330"/>
  <c r="F143" i="330"/>
  <c r="F144" i="330"/>
  <c r="F145" i="330"/>
  <c r="C6" i="180"/>
  <c r="C3" i="172"/>
  <c r="C7" i="180"/>
  <c r="C8" i="180"/>
  <c r="C5" i="172"/>
  <c r="D8" i="180"/>
  <c r="D5" i="172"/>
  <c r="D7" i="180"/>
  <c r="G7" i="180" s="1"/>
  <c r="G8" i="180" s="1"/>
  <c r="G9" i="180" s="1"/>
  <c r="D6" i="180"/>
  <c r="D3" i="172"/>
  <c r="C9" i="180"/>
  <c r="C10" i="180"/>
  <c r="C7" i="172"/>
  <c r="C11" i="180"/>
  <c r="C12" i="180"/>
  <c r="C9" i="172" s="1"/>
  <c r="C13" i="180"/>
  <c r="C10" i="172"/>
  <c r="C14" i="180"/>
  <c r="C11" i="172" s="1"/>
  <c r="C15" i="180"/>
  <c r="C12" i="172"/>
  <c r="C16" i="180"/>
  <c r="C13" i="172"/>
  <c r="C17" i="180"/>
  <c r="D9" i="180"/>
  <c r="D6" i="172"/>
  <c r="D10" i="180"/>
  <c r="G10" i="180"/>
  <c r="C32" i="172" s="1"/>
  <c r="D11" i="180"/>
  <c r="D7" i="172"/>
  <c r="D12" i="180"/>
  <c r="D13" i="180"/>
  <c r="D10" i="172"/>
  <c r="D14" i="180"/>
  <c r="D15" i="180"/>
  <c r="D12" i="172"/>
  <c r="D16" i="180"/>
  <c r="D13" i="172" s="1"/>
  <c r="D17" i="180"/>
  <c r="D14" i="172" s="1"/>
  <c r="E6" i="180"/>
  <c r="E3" i="172"/>
  <c r="F6" i="180"/>
  <c r="E7" i="180"/>
  <c r="F7" i="180" s="1"/>
  <c r="E8" i="180"/>
  <c r="E9" i="180"/>
  <c r="E10" i="180"/>
  <c r="E11" i="180"/>
  <c r="E12" i="180"/>
  <c r="E9" i="172"/>
  <c r="E13" i="180"/>
  <c r="E14" i="180"/>
  <c r="E15" i="180"/>
  <c r="E16" i="180"/>
  <c r="E17" i="180"/>
  <c r="F17" i="180" s="1"/>
  <c r="J17" i="180" s="1"/>
  <c r="B10" i="172"/>
  <c r="J6" i="177"/>
  <c r="D19" i="359"/>
  <c r="N4" i="317" s="1"/>
  <c r="D18" i="359"/>
  <c r="M4" i="317"/>
  <c r="D17" i="359"/>
  <c r="L4" i="317"/>
  <c r="D16" i="359"/>
  <c r="K4" i="317" s="1"/>
  <c r="D15" i="359"/>
  <c r="J4" i="317" s="1"/>
  <c r="D14" i="359"/>
  <c r="I4" i="317"/>
  <c r="D13" i="359"/>
  <c r="H4" i="317" s="1"/>
  <c r="D12" i="359"/>
  <c r="G4" i="317" s="1"/>
  <c r="D11" i="359"/>
  <c r="F4" i="317" s="1"/>
  <c r="D10" i="359"/>
  <c r="E4" i="317"/>
  <c r="D9" i="359"/>
  <c r="D4" i="317" s="1"/>
  <c r="D8" i="359"/>
  <c r="C4" i="317"/>
  <c r="C7" i="359"/>
  <c r="C6" i="359"/>
  <c r="F15" i="359"/>
  <c r="C5" i="359"/>
  <c r="I134" i="326"/>
  <c r="I137" i="326"/>
  <c r="I147" i="326"/>
  <c r="I150" i="326"/>
  <c r="I153" i="326"/>
  <c r="I156" i="326"/>
  <c r="I159" i="326"/>
  <c r="I162" i="326"/>
  <c r="I165" i="326"/>
  <c r="I168" i="326"/>
  <c r="I169" i="326"/>
  <c r="I171" i="326"/>
  <c r="I172" i="326"/>
  <c r="D164" i="326"/>
  <c r="D163" i="326"/>
  <c r="E164" i="326"/>
  <c r="E163" i="326" s="1"/>
  <c r="F164" i="326"/>
  <c r="F163" i="326"/>
  <c r="K164" i="326"/>
  <c r="K163" i="326" s="1"/>
  <c r="D161" i="326"/>
  <c r="D160" i="326"/>
  <c r="E161" i="326"/>
  <c r="E160" i="326" s="1"/>
  <c r="F161" i="326"/>
  <c r="F160" i="326"/>
  <c r="K161" i="326"/>
  <c r="K160" i="326" s="1"/>
  <c r="D158" i="326"/>
  <c r="D157" i="326"/>
  <c r="E158" i="326"/>
  <c r="E157" i="326"/>
  <c r="F158" i="326"/>
  <c r="F157" i="326"/>
  <c r="K158" i="326"/>
  <c r="K157" i="326" s="1"/>
  <c r="D155" i="326"/>
  <c r="D154" i="326"/>
  <c r="E155" i="326"/>
  <c r="E154" i="326" s="1"/>
  <c r="F155" i="326"/>
  <c r="F154" i="326"/>
  <c r="K155" i="326"/>
  <c r="K154" i="326" s="1"/>
  <c r="D152" i="326"/>
  <c r="D151" i="326"/>
  <c r="E152" i="326"/>
  <c r="E151" i="326" s="1"/>
  <c r="F152" i="326"/>
  <c r="F151" i="326"/>
  <c r="K152" i="326"/>
  <c r="K151" i="326" s="1"/>
  <c r="D149" i="326"/>
  <c r="D148" i="326"/>
  <c r="E149" i="326"/>
  <c r="E148" i="326"/>
  <c r="F149" i="326"/>
  <c r="F148" i="326"/>
  <c r="K149" i="326"/>
  <c r="K148" i="326" s="1"/>
  <c r="D141" i="326"/>
  <c r="D142" i="326"/>
  <c r="D143" i="326"/>
  <c r="D144" i="326"/>
  <c r="D145" i="326"/>
  <c r="D146" i="326"/>
  <c r="D139" i="326"/>
  <c r="E141" i="326"/>
  <c r="E142" i="326"/>
  <c r="E143" i="326"/>
  <c r="E144" i="326"/>
  <c r="E145" i="326"/>
  <c r="E140" i="326" s="1"/>
  <c r="E138" i="326" s="1"/>
  <c r="E146" i="326"/>
  <c r="E139" i="326"/>
  <c r="F141" i="326"/>
  <c r="F142" i="326"/>
  <c r="F143" i="326"/>
  <c r="F144" i="326"/>
  <c r="F145" i="326"/>
  <c r="F146" i="326"/>
  <c r="F139" i="326"/>
  <c r="K141" i="326"/>
  <c r="K142" i="326"/>
  <c r="K143" i="326"/>
  <c r="K144" i="326"/>
  <c r="K145" i="326"/>
  <c r="K146" i="326"/>
  <c r="K139" i="326"/>
  <c r="D136" i="326"/>
  <c r="D135" i="326"/>
  <c r="E136" i="326"/>
  <c r="E135" i="326"/>
  <c r="F136" i="326"/>
  <c r="F135" i="326"/>
  <c r="K136" i="326"/>
  <c r="K135" i="326" s="1"/>
  <c r="D131" i="326"/>
  <c r="D132" i="326"/>
  <c r="D130" i="326" s="1"/>
  <c r="D133" i="326"/>
  <c r="E131" i="326"/>
  <c r="E130" i="326" s="1"/>
  <c r="E132" i="326"/>
  <c r="E133" i="326"/>
  <c r="F131" i="326"/>
  <c r="F132" i="326"/>
  <c r="F133" i="326"/>
  <c r="K131" i="326"/>
  <c r="K130" i="326" s="1"/>
  <c r="K132" i="326"/>
  <c r="K133" i="326"/>
  <c r="D119" i="326"/>
  <c r="D120" i="326"/>
  <c r="D121" i="326"/>
  <c r="D122" i="326"/>
  <c r="D123" i="326"/>
  <c r="D124" i="326"/>
  <c r="D125" i="326"/>
  <c r="D126" i="326"/>
  <c r="D127" i="326"/>
  <c r="D128" i="326"/>
  <c r="D129" i="326"/>
  <c r="E119" i="326"/>
  <c r="E120" i="326"/>
  <c r="E121" i="326"/>
  <c r="E122" i="326"/>
  <c r="E123" i="326"/>
  <c r="E124" i="326"/>
  <c r="E125" i="326"/>
  <c r="E126" i="326"/>
  <c r="E127" i="326"/>
  <c r="E128" i="326"/>
  <c r="E129" i="326"/>
  <c r="F119" i="326"/>
  <c r="F120" i="326"/>
  <c r="F121" i="326"/>
  <c r="F122" i="326"/>
  <c r="F123" i="326"/>
  <c r="F124" i="326"/>
  <c r="F125" i="326"/>
  <c r="F126" i="326"/>
  <c r="F127" i="326"/>
  <c r="F128" i="326"/>
  <c r="F129" i="326"/>
  <c r="K119" i="326"/>
  <c r="K120" i="326"/>
  <c r="K121" i="326"/>
  <c r="K122" i="326"/>
  <c r="K123" i="326"/>
  <c r="K124" i="326"/>
  <c r="K125" i="326"/>
  <c r="K126" i="326"/>
  <c r="K127" i="326"/>
  <c r="K128" i="326"/>
  <c r="K129" i="326"/>
  <c r="D115" i="326"/>
  <c r="D114" i="326" s="1"/>
  <c r="D116" i="326"/>
  <c r="D112" i="326"/>
  <c r="D113" i="326"/>
  <c r="E115" i="326"/>
  <c r="E116" i="326"/>
  <c r="E114" i="326"/>
  <c r="E112" i="326"/>
  <c r="E111" i="326" s="1"/>
  <c r="E110" i="326" s="1"/>
  <c r="E113" i="326"/>
  <c r="F115" i="326"/>
  <c r="F116" i="326"/>
  <c r="F114" i="326"/>
  <c r="F112" i="326"/>
  <c r="F111" i="326" s="1"/>
  <c r="F113" i="326"/>
  <c r="K115" i="326"/>
  <c r="K116" i="326"/>
  <c r="K114" i="326"/>
  <c r="K112" i="326"/>
  <c r="K111" i="326" s="1"/>
  <c r="K110" i="326" s="1"/>
  <c r="K113" i="326"/>
  <c r="I109" i="326"/>
  <c r="D104" i="326"/>
  <c r="D105" i="326"/>
  <c r="D106" i="326"/>
  <c r="D107" i="326"/>
  <c r="D108" i="326"/>
  <c r="E104" i="326"/>
  <c r="E103" i="326" s="1"/>
  <c r="E105" i="326"/>
  <c r="E106" i="326"/>
  <c r="E107" i="326"/>
  <c r="E108" i="326"/>
  <c r="F104" i="326"/>
  <c r="F105" i="326"/>
  <c r="F106" i="326"/>
  <c r="F107" i="326"/>
  <c r="F108" i="326"/>
  <c r="K104" i="326"/>
  <c r="K105" i="326"/>
  <c r="K106" i="326"/>
  <c r="K107" i="326"/>
  <c r="K108" i="326"/>
  <c r="K103" i="326" s="1"/>
  <c r="D100" i="326"/>
  <c r="D99" i="326" s="1"/>
  <c r="D101" i="326"/>
  <c r="D102" i="326"/>
  <c r="E100" i="326"/>
  <c r="E101" i="326"/>
  <c r="E102" i="326"/>
  <c r="F100" i="326"/>
  <c r="F101" i="326"/>
  <c r="F102" i="326"/>
  <c r="K100" i="326"/>
  <c r="K101" i="326"/>
  <c r="K102" i="326"/>
  <c r="I74" i="326"/>
  <c r="D98" i="326"/>
  <c r="E98" i="326"/>
  <c r="F98" i="326"/>
  <c r="K98" i="326"/>
  <c r="D77" i="326"/>
  <c r="D78" i="326"/>
  <c r="D79" i="326"/>
  <c r="D80" i="326"/>
  <c r="D81" i="326"/>
  <c r="D82" i="326"/>
  <c r="D83" i="326"/>
  <c r="D84" i="326"/>
  <c r="D85" i="326"/>
  <c r="D86" i="326"/>
  <c r="D87" i="326"/>
  <c r="D88" i="326"/>
  <c r="D89" i="326"/>
  <c r="D90" i="326"/>
  <c r="D91" i="326"/>
  <c r="D92" i="326"/>
  <c r="D93" i="326"/>
  <c r="D94" i="326"/>
  <c r="D95" i="326"/>
  <c r="D96" i="326"/>
  <c r="D97" i="326"/>
  <c r="D76" i="326"/>
  <c r="E77" i="326"/>
  <c r="E78" i="326"/>
  <c r="E79" i="326"/>
  <c r="E80" i="326"/>
  <c r="E81" i="326"/>
  <c r="E82" i="326"/>
  <c r="E83" i="326"/>
  <c r="E84" i="326"/>
  <c r="E85" i="326"/>
  <c r="E86" i="326"/>
  <c r="E87" i="326"/>
  <c r="E88" i="326"/>
  <c r="E89" i="326"/>
  <c r="E90" i="326"/>
  <c r="E91" i="326"/>
  <c r="E92" i="326"/>
  <c r="E93" i="326"/>
  <c r="E94" i="326"/>
  <c r="E95" i="326"/>
  <c r="E96" i="326"/>
  <c r="E97" i="326"/>
  <c r="F77" i="326"/>
  <c r="K77" i="326"/>
  <c r="K78" i="326"/>
  <c r="K79" i="326"/>
  <c r="K80" i="326"/>
  <c r="K81" i="326"/>
  <c r="K82" i="326"/>
  <c r="K83" i="326"/>
  <c r="K84" i="326"/>
  <c r="K76" i="326" s="1"/>
  <c r="K75" i="326" s="1"/>
  <c r="K85" i="326"/>
  <c r="K86" i="326"/>
  <c r="K87" i="326"/>
  <c r="K88" i="326"/>
  <c r="K89" i="326"/>
  <c r="K90" i="326"/>
  <c r="K91" i="326"/>
  <c r="K92" i="326"/>
  <c r="K93" i="326"/>
  <c r="K94" i="326"/>
  <c r="K95" i="326"/>
  <c r="K96" i="326"/>
  <c r="K97" i="326"/>
  <c r="K99" i="326"/>
  <c r="F78" i="326"/>
  <c r="F79" i="326"/>
  <c r="F80" i="326"/>
  <c r="F81" i="326"/>
  <c r="F82" i="326"/>
  <c r="F83" i="326"/>
  <c r="F84" i="326"/>
  <c r="F85" i="326"/>
  <c r="F86" i="326"/>
  <c r="F87" i="326"/>
  <c r="F88" i="326"/>
  <c r="F89" i="326"/>
  <c r="F90" i="326"/>
  <c r="F91" i="326"/>
  <c r="F92" i="326"/>
  <c r="F93" i="326"/>
  <c r="F94" i="326"/>
  <c r="F95" i="326"/>
  <c r="F96" i="326"/>
  <c r="F97" i="326"/>
  <c r="D71" i="326"/>
  <c r="D70" i="326"/>
  <c r="D72" i="326"/>
  <c r="D73" i="326"/>
  <c r="E71" i="326"/>
  <c r="E70" i="326"/>
  <c r="E72" i="326"/>
  <c r="E73" i="326"/>
  <c r="F71" i="326"/>
  <c r="F70" i="326"/>
  <c r="F72" i="326"/>
  <c r="F73" i="326"/>
  <c r="K71" i="326"/>
  <c r="K72" i="326"/>
  <c r="K70" i="326"/>
  <c r="K73" i="326"/>
  <c r="K69" i="326" s="1"/>
  <c r="D64" i="326"/>
  <c r="D63" i="326" s="1"/>
  <c r="D65" i="326"/>
  <c r="D66" i="326"/>
  <c r="D67" i="326"/>
  <c r="D68" i="326"/>
  <c r="E64" i="326"/>
  <c r="E65" i="326"/>
  <c r="E66" i="326"/>
  <c r="E67" i="326"/>
  <c r="E68" i="326"/>
  <c r="F64" i="326"/>
  <c r="F65" i="326"/>
  <c r="F66" i="326"/>
  <c r="F67" i="326"/>
  <c r="F68" i="326"/>
  <c r="K64" i="326"/>
  <c r="K65" i="326"/>
  <c r="K66" i="326"/>
  <c r="K67" i="326"/>
  <c r="K68" i="326"/>
  <c r="D54" i="326"/>
  <c r="E54" i="326"/>
  <c r="E55" i="326"/>
  <c r="E56" i="326"/>
  <c r="E57" i="326"/>
  <c r="E58" i="326"/>
  <c r="E59" i="326"/>
  <c r="E60" i="326"/>
  <c r="E61" i="326"/>
  <c r="E53" i="326" s="1"/>
  <c r="E62" i="326"/>
  <c r="F54" i="326"/>
  <c r="F55" i="326"/>
  <c r="F56" i="326"/>
  <c r="F57" i="326"/>
  <c r="F58" i="326"/>
  <c r="F59" i="326"/>
  <c r="F53" i="326" s="1"/>
  <c r="F60" i="326"/>
  <c r="F61" i="326"/>
  <c r="F62" i="326"/>
  <c r="K54" i="326"/>
  <c r="K55" i="326"/>
  <c r="K56" i="326"/>
  <c r="K57" i="326"/>
  <c r="K53" i="326" s="1"/>
  <c r="K58" i="326"/>
  <c r="K59" i="326"/>
  <c r="K60" i="326"/>
  <c r="K61" i="326"/>
  <c r="K62" i="326"/>
  <c r="D55" i="326"/>
  <c r="D56" i="326"/>
  <c r="D57" i="326"/>
  <c r="D58" i="326"/>
  <c r="D59" i="326"/>
  <c r="D60" i="326"/>
  <c r="D61" i="326"/>
  <c r="D62" i="326"/>
  <c r="D46" i="326"/>
  <c r="D47" i="326"/>
  <c r="D48" i="326"/>
  <c r="D45" i="326" s="1"/>
  <c r="D49" i="326"/>
  <c r="D50" i="326"/>
  <c r="D51" i="326"/>
  <c r="D52" i="326"/>
  <c r="E46" i="326"/>
  <c r="E47" i="326"/>
  <c r="E48" i="326"/>
  <c r="E49" i="326"/>
  <c r="E45" i="326" s="1"/>
  <c r="E50" i="326"/>
  <c r="E51" i="326"/>
  <c r="E52" i="326"/>
  <c r="F46" i="326"/>
  <c r="F47" i="326"/>
  <c r="F48" i="326"/>
  <c r="F49" i="326"/>
  <c r="F50" i="326"/>
  <c r="F51" i="326"/>
  <c r="F52" i="326"/>
  <c r="K46" i="326"/>
  <c r="K47" i="326"/>
  <c r="K48" i="326"/>
  <c r="K49" i="326"/>
  <c r="K50" i="326"/>
  <c r="K51" i="326"/>
  <c r="K52" i="326"/>
  <c r="D39" i="326"/>
  <c r="D40" i="326"/>
  <c r="D41" i="326"/>
  <c r="D42" i="326"/>
  <c r="D43" i="326"/>
  <c r="D44" i="326"/>
  <c r="D38" i="326" s="1"/>
  <c r="E39" i="326"/>
  <c r="E38" i="326" s="1"/>
  <c r="E40" i="326"/>
  <c r="E41" i="326"/>
  <c r="E42" i="326"/>
  <c r="E43" i="326"/>
  <c r="E44" i="326"/>
  <c r="F39" i="326"/>
  <c r="F40" i="326"/>
  <c r="F41" i="326"/>
  <c r="F42" i="326"/>
  <c r="F43" i="326"/>
  <c r="F44" i="326"/>
  <c r="K39" i="326"/>
  <c r="K40" i="326"/>
  <c r="K41" i="326"/>
  <c r="K42" i="326"/>
  <c r="K43" i="326"/>
  <c r="K44" i="326"/>
  <c r="D28" i="326"/>
  <c r="D29" i="326"/>
  <c r="D30" i="326"/>
  <c r="D31" i="326"/>
  <c r="D32" i="326"/>
  <c r="D33" i="326"/>
  <c r="D27" i="326" s="1"/>
  <c r="D34" i="326"/>
  <c r="D35" i="326"/>
  <c r="D36" i="326"/>
  <c r="D37" i="326"/>
  <c r="E28" i="326"/>
  <c r="F28" i="326"/>
  <c r="K28" i="326"/>
  <c r="K29" i="326"/>
  <c r="K30" i="326"/>
  <c r="K31" i="326"/>
  <c r="K32" i="326"/>
  <c r="K33" i="326"/>
  <c r="K34" i="326"/>
  <c r="K35" i="326"/>
  <c r="K36" i="326"/>
  <c r="K37" i="326"/>
  <c r="E29" i="326"/>
  <c r="E30" i="326"/>
  <c r="E31" i="326"/>
  <c r="E32" i="326"/>
  <c r="E33" i="326"/>
  <c r="E34" i="326"/>
  <c r="E35" i="326"/>
  <c r="E36" i="326"/>
  <c r="E37" i="326"/>
  <c r="F29" i="326"/>
  <c r="F30" i="326"/>
  <c r="F31" i="326"/>
  <c r="F32" i="326"/>
  <c r="F33" i="326"/>
  <c r="F34" i="326"/>
  <c r="F35" i="326"/>
  <c r="F36" i="326"/>
  <c r="F37" i="326"/>
  <c r="D18" i="326"/>
  <c r="D19" i="326"/>
  <c r="D20" i="326"/>
  <c r="D21" i="326"/>
  <c r="D22" i="326"/>
  <c r="D23" i="326"/>
  <c r="D24" i="326"/>
  <c r="D25" i="326"/>
  <c r="D26" i="326"/>
  <c r="E18" i="326"/>
  <c r="E19" i="326"/>
  <c r="E20" i="326"/>
  <c r="E21" i="326"/>
  <c r="E22" i="326"/>
  <c r="E23" i="326"/>
  <c r="E24" i="326"/>
  <c r="E25" i="326"/>
  <c r="E26" i="326"/>
  <c r="E9" i="326"/>
  <c r="E10" i="326"/>
  <c r="E11" i="326"/>
  <c r="E12" i="326"/>
  <c r="E14" i="326"/>
  <c r="E13" i="326" s="1"/>
  <c r="E15" i="326"/>
  <c r="E16" i="326"/>
  <c r="F18" i="326"/>
  <c r="F17" i="326" s="1"/>
  <c r="F19" i="326"/>
  <c r="F20" i="326"/>
  <c r="F21" i="326"/>
  <c r="F22" i="326"/>
  <c r="F23" i="326"/>
  <c r="F24" i="326"/>
  <c r="F25" i="326"/>
  <c r="F26" i="326"/>
  <c r="K18" i="326"/>
  <c r="K19" i="326"/>
  <c r="K20" i="326"/>
  <c r="K21" i="326"/>
  <c r="K22" i="326"/>
  <c r="K23" i="326"/>
  <c r="K24" i="326"/>
  <c r="K25" i="326"/>
  <c r="K26" i="326"/>
  <c r="D15" i="326"/>
  <c r="D14" i="326"/>
  <c r="D16" i="326"/>
  <c r="F15" i="326"/>
  <c r="F14" i="326"/>
  <c r="F16" i="326"/>
  <c r="F13" i="326" s="1"/>
  <c r="K15" i="326"/>
  <c r="K14" i="326"/>
  <c r="K16" i="326"/>
  <c r="K9" i="326"/>
  <c r="K10" i="326"/>
  <c r="K11" i="326"/>
  <c r="K12" i="326"/>
  <c r="D10" i="326"/>
  <c r="D9" i="326"/>
  <c r="D11" i="326"/>
  <c r="D12" i="326"/>
  <c r="F10" i="326"/>
  <c r="F9" i="326"/>
  <c r="F11" i="326"/>
  <c r="F12" i="326"/>
  <c r="F8" i="326"/>
  <c r="I55" i="318"/>
  <c r="I167" i="325"/>
  <c r="I168" i="325"/>
  <c r="I170" i="325"/>
  <c r="I171" i="325"/>
  <c r="I173" i="325"/>
  <c r="D164" i="325"/>
  <c r="D163" i="325"/>
  <c r="E164" i="325"/>
  <c r="E163" i="325" s="1"/>
  <c r="F164" i="325"/>
  <c r="F163" i="325"/>
  <c r="G164" i="325"/>
  <c r="H164" i="325"/>
  <c r="H163" i="325"/>
  <c r="K164" i="325"/>
  <c r="K163" i="325" s="1"/>
  <c r="I162" i="325"/>
  <c r="D161" i="325"/>
  <c r="D160" i="325"/>
  <c r="E161" i="325"/>
  <c r="E160" i="325" s="1"/>
  <c r="F161" i="325"/>
  <c r="F160" i="325"/>
  <c r="G161" i="325"/>
  <c r="H161" i="325"/>
  <c r="K161" i="325"/>
  <c r="K160" i="325"/>
  <c r="I159" i="325"/>
  <c r="D158" i="325"/>
  <c r="D157" i="325"/>
  <c r="E158" i="325"/>
  <c r="E157" i="325"/>
  <c r="F158" i="325"/>
  <c r="F157" i="325" s="1"/>
  <c r="G158" i="325"/>
  <c r="G157" i="325" s="1"/>
  <c r="H158" i="325"/>
  <c r="K158" i="325"/>
  <c r="K157" i="325"/>
  <c r="I156" i="325"/>
  <c r="D155" i="325"/>
  <c r="D154" i="325" s="1"/>
  <c r="E155" i="325"/>
  <c r="E154" i="325" s="1"/>
  <c r="F155" i="325"/>
  <c r="F154" i="325"/>
  <c r="G155" i="325"/>
  <c r="H155" i="325"/>
  <c r="H154" i="325" s="1"/>
  <c r="K155" i="325"/>
  <c r="K154" i="325" s="1"/>
  <c r="I153" i="325"/>
  <c r="D152" i="325"/>
  <c r="D151" i="325" s="1"/>
  <c r="E152" i="325"/>
  <c r="E151" i="325"/>
  <c r="F152" i="325"/>
  <c r="F151" i="325"/>
  <c r="G152" i="325"/>
  <c r="G151" i="325"/>
  <c r="H152" i="325"/>
  <c r="K152" i="325"/>
  <c r="K151" i="325"/>
  <c r="I147" i="325"/>
  <c r="I150" i="325"/>
  <c r="D149" i="325"/>
  <c r="D148" i="325" s="1"/>
  <c r="E149" i="325"/>
  <c r="E148" i="325" s="1"/>
  <c r="F149" i="325"/>
  <c r="F148" i="325"/>
  <c r="G149" i="325"/>
  <c r="G148" i="325"/>
  <c r="H149" i="325"/>
  <c r="K149" i="325"/>
  <c r="K148" i="325"/>
  <c r="H145" i="325"/>
  <c r="G145" i="325"/>
  <c r="I145" i="325"/>
  <c r="D141" i="325"/>
  <c r="D142" i="325"/>
  <c r="D143" i="325"/>
  <c r="D144" i="325"/>
  <c r="D145" i="325"/>
  <c r="D146" i="325"/>
  <c r="D139" i="325"/>
  <c r="E141" i="325"/>
  <c r="F141" i="325"/>
  <c r="G141" i="325"/>
  <c r="H141" i="325"/>
  <c r="G142" i="325"/>
  <c r="H142" i="325"/>
  <c r="I142" i="325" s="1"/>
  <c r="H143" i="325"/>
  <c r="H144" i="325"/>
  <c r="I144" i="325" s="1"/>
  <c r="H146" i="325"/>
  <c r="I146" i="325" s="1"/>
  <c r="G143" i="325"/>
  <c r="G144" i="325"/>
  <c r="G146" i="325"/>
  <c r="G139" i="325"/>
  <c r="H139" i="325"/>
  <c r="I139" i="325"/>
  <c r="K141" i="325"/>
  <c r="K142" i="325"/>
  <c r="K143" i="325"/>
  <c r="K144" i="325"/>
  <c r="K145" i="325"/>
  <c r="K146" i="325"/>
  <c r="K139" i="325"/>
  <c r="E142" i="325"/>
  <c r="E143" i="325"/>
  <c r="E144" i="325"/>
  <c r="E145" i="325"/>
  <c r="E146" i="325"/>
  <c r="E139" i="325"/>
  <c r="F142" i="325"/>
  <c r="F143" i="325"/>
  <c r="F144" i="325"/>
  <c r="F145" i="325"/>
  <c r="F146" i="325"/>
  <c r="F139" i="325"/>
  <c r="I134" i="325"/>
  <c r="I137" i="325"/>
  <c r="D136" i="325"/>
  <c r="D135" i="325"/>
  <c r="E136" i="325"/>
  <c r="E135" i="325" s="1"/>
  <c r="F136" i="325"/>
  <c r="F135" i="325" s="1"/>
  <c r="G136" i="325"/>
  <c r="G135" i="325"/>
  <c r="H136" i="325"/>
  <c r="I136" i="325" s="1"/>
  <c r="K136" i="325"/>
  <c r="K135" i="325" s="1"/>
  <c r="H132" i="325"/>
  <c r="H131" i="325"/>
  <c r="G131" i="325"/>
  <c r="I131" i="325"/>
  <c r="H133" i="325"/>
  <c r="I133" i="325" s="1"/>
  <c r="G132" i="325"/>
  <c r="I132" i="325" s="1"/>
  <c r="G133" i="325"/>
  <c r="G119" i="325"/>
  <c r="G120" i="325"/>
  <c r="H120" i="325"/>
  <c r="I120" i="325"/>
  <c r="G121" i="325"/>
  <c r="I121" i="325" s="1"/>
  <c r="G122" i="325"/>
  <c r="G123" i="325"/>
  <c r="I123" i="325" s="1"/>
  <c r="H123" i="325"/>
  <c r="G124" i="325"/>
  <c r="G125" i="325"/>
  <c r="G126" i="325"/>
  <c r="G127" i="325"/>
  <c r="H127" i="325"/>
  <c r="I127" i="325" s="1"/>
  <c r="G128" i="325"/>
  <c r="G129" i="325"/>
  <c r="H126" i="325"/>
  <c r="I126" i="325" s="1"/>
  <c r="H121" i="325"/>
  <c r="H122" i="325"/>
  <c r="H125" i="325"/>
  <c r="I125" i="325"/>
  <c r="H128" i="325"/>
  <c r="H129" i="325"/>
  <c r="D131" i="325"/>
  <c r="D132" i="325"/>
  <c r="D133" i="325"/>
  <c r="E131" i="325"/>
  <c r="E130" i="325" s="1"/>
  <c r="E132" i="325"/>
  <c r="E133" i="325"/>
  <c r="E119" i="325"/>
  <c r="E120" i="325"/>
  <c r="E121" i="325"/>
  <c r="E122" i="325"/>
  <c r="E123" i="325"/>
  <c r="E124" i="325"/>
  <c r="E125" i="325"/>
  <c r="E126" i="325"/>
  <c r="E127" i="325"/>
  <c r="E128" i="325"/>
  <c r="E129" i="325"/>
  <c r="F131" i="325"/>
  <c r="F132" i="325"/>
  <c r="F133" i="325"/>
  <c r="K131" i="325"/>
  <c r="K130" i="325" s="1"/>
  <c r="K132" i="325"/>
  <c r="K133" i="325"/>
  <c r="D119" i="325"/>
  <c r="D120" i="325"/>
  <c r="D121" i="325"/>
  <c r="D122" i="325"/>
  <c r="D123" i="325"/>
  <c r="D118" i="325" s="1"/>
  <c r="D117" i="325" s="1"/>
  <c r="D124" i="325"/>
  <c r="D125" i="325"/>
  <c r="D126" i="325"/>
  <c r="D127" i="325"/>
  <c r="D128" i="325"/>
  <c r="D129" i="325"/>
  <c r="D130" i="325"/>
  <c r="F119" i="325"/>
  <c r="F118" i="325" s="1"/>
  <c r="F120" i="325"/>
  <c r="F121" i="325"/>
  <c r="F122" i="325"/>
  <c r="F123" i="325"/>
  <c r="F124" i="325"/>
  <c r="F125" i="325"/>
  <c r="F126" i="325"/>
  <c r="F127" i="325"/>
  <c r="F128" i="325"/>
  <c r="F129" i="325"/>
  <c r="H119" i="325"/>
  <c r="K119" i="325"/>
  <c r="K118" i="325" s="1"/>
  <c r="K120" i="325"/>
  <c r="K121" i="325"/>
  <c r="K122" i="325"/>
  <c r="K123" i="325"/>
  <c r="K124" i="325"/>
  <c r="K125" i="325"/>
  <c r="K126" i="325"/>
  <c r="K127" i="325"/>
  <c r="K128" i="325"/>
  <c r="K129" i="325"/>
  <c r="H124" i="325"/>
  <c r="D116" i="325"/>
  <c r="D115" i="325"/>
  <c r="D114" i="325" s="1"/>
  <c r="D110" i="325" s="1"/>
  <c r="E116" i="325"/>
  <c r="E115" i="325"/>
  <c r="E112" i="325"/>
  <c r="E113" i="325"/>
  <c r="E111" i="325"/>
  <c r="F116" i="325"/>
  <c r="F115" i="325"/>
  <c r="F114" i="325" s="1"/>
  <c r="F112" i="325"/>
  <c r="F111" i="325" s="1"/>
  <c r="F113" i="325"/>
  <c r="G116" i="325"/>
  <c r="G115" i="325"/>
  <c r="I115" i="325" s="1"/>
  <c r="G114" i="325"/>
  <c r="H116" i="325"/>
  <c r="H114" i="325" s="1"/>
  <c r="H115" i="325"/>
  <c r="K116" i="325"/>
  <c r="K115" i="325"/>
  <c r="K114" i="325"/>
  <c r="K112" i="325"/>
  <c r="K113" i="325"/>
  <c r="D112" i="325"/>
  <c r="D113" i="325"/>
  <c r="G113" i="325"/>
  <c r="H113" i="325"/>
  <c r="I113" i="325"/>
  <c r="G112" i="325"/>
  <c r="H112" i="325"/>
  <c r="I109" i="325"/>
  <c r="J109" i="325" s="1"/>
  <c r="D105" i="325"/>
  <c r="D106" i="325"/>
  <c r="D107" i="325"/>
  <c r="D108" i="325"/>
  <c r="E105" i="325"/>
  <c r="E106" i="325"/>
  <c r="E107" i="325"/>
  <c r="E108" i="325"/>
  <c r="F105" i="325"/>
  <c r="F106" i="325"/>
  <c r="F107" i="325"/>
  <c r="F108" i="325"/>
  <c r="G105" i="325"/>
  <c r="H105" i="325"/>
  <c r="I105" i="325" s="1"/>
  <c r="J105" i="325" s="1"/>
  <c r="G106" i="325"/>
  <c r="G107" i="325"/>
  <c r="G108" i="325"/>
  <c r="G103" i="325"/>
  <c r="H106" i="325"/>
  <c r="H108" i="325"/>
  <c r="I108" i="325" s="1"/>
  <c r="J108" i="325" s="1"/>
  <c r="H107" i="325"/>
  <c r="K105" i="325"/>
  <c r="K106" i="325"/>
  <c r="K107" i="325"/>
  <c r="K108" i="325"/>
  <c r="I104" i="325"/>
  <c r="J104" i="325"/>
  <c r="D101" i="325"/>
  <c r="D100" i="325"/>
  <c r="D102" i="325"/>
  <c r="E101" i="325"/>
  <c r="E100" i="325"/>
  <c r="E102" i="325"/>
  <c r="F101" i="325"/>
  <c r="G101" i="325"/>
  <c r="G99" i="325" s="1"/>
  <c r="G100" i="325"/>
  <c r="G102" i="325"/>
  <c r="H102" i="325"/>
  <c r="I102" i="325"/>
  <c r="J102" i="325"/>
  <c r="H101" i="325"/>
  <c r="H100" i="325"/>
  <c r="K101" i="325"/>
  <c r="K100" i="325"/>
  <c r="K102" i="325"/>
  <c r="K77" i="325"/>
  <c r="K78" i="325"/>
  <c r="K79" i="325"/>
  <c r="K80" i="325"/>
  <c r="K81" i="325"/>
  <c r="K82" i="325"/>
  <c r="K83" i="325"/>
  <c r="K84" i="325"/>
  <c r="K85" i="325"/>
  <c r="K86" i="325"/>
  <c r="K87" i="325"/>
  <c r="K88" i="325"/>
  <c r="K89" i="325"/>
  <c r="K90" i="325"/>
  <c r="K91" i="325"/>
  <c r="K92" i="325"/>
  <c r="K93" i="325"/>
  <c r="K94" i="325"/>
  <c r="K95" i="325"/>
  <c r="K96" i="325"/>
  <c r="K97" i="325"/>
  <c r="K98" i="325"/>
  <c r="F102" i="325"/>
  <c r="F100" i="325"/>
  <c r="F99" i="325"/>
  <c r="H78" i="325"/>
  <c r="G78" i="325"/>
  <c r="H77" i="325"/>
  <c r="G77" i="325"/>
  <c r="H79" i="325"/>
  <c r="G79" i="325"/>
  <c r="H80" i="325"/>
  <c r="G80" i="325"/>
  <c r="I80" i="325" s="1"/>
  <c r="J80" i="325" s="1"/>
  <c r="H81" i="325"/>
  <c r="G81" i="325"/>
  <c r="H82" i="325"/>
  <c r="I82" i="325" s="1"/>
  <c r="J82" i="325" s="1"/>
  <c r="G82" i="325"/>
  <c r="H83" i="325"/>
  <c r="G83" i="325"/>
  <c r="I83" i="325"/>
  <c r="J83" i="325"/>
  <c r="H84" i="325"/>
  <c r="G84" i="325"/>
  <c r="H85" i="325"/>
  <c r="G85" i="325"/>
  <c r="I85" i="325"/>
  <c r="J85" i="325"/>
  <c r="H86" i="325"/>
  <c r="G86" i="325"/>
  <c r="H87" i="325"/>
  <c r="G87" i="325"/>
  <c r="I87" i="325"/>
  <c r="J87" i="325"/>
  <c r="H88" i="325"/>
  <c r="G88" i="325"/>
  <c r="H89" i="325"/>
  <c r="G89" i="325"/>
  <c r="H90" i="325"/>
  <c r="G90" i="325"/>
  <c r="I90" i="325"/>
  <c r="J90" i="325"/>
  <c r="H91" i="325"/>
  <c r="I91" i="325" s="1"/>
  <c r="J91" i="325" s="1"/>
  <c r="G91" i="325"/>
  <c r="H92" i="325"/>
  <c r="G92" i="325"/>
  <c r="I92" i="325"/>
  <c r="H93" i="325"/>
  <c r="I93" i="325" s="1"/>
  <c r="J93" i="325" s="1"/>
  <c r="G93" i="325"/>
  <c r="G94" i="325"/>
  <c r="G95" i="325"/>
  <c r="H95" i="325"/>
  <c r="G96" i="325"/>
  <c r="H96" i="325"/>
  <c r="I96" i="325"/>
  <c r="J96" i="325"/>
  <c r="G97" i="325"/>
  <c r="H97" i="325"/>
  <c r="I97" i="325" s="1"/>
  <c r="J97" i="325" s="1"/>
  <c r="G98" i="325"/>
  <c r="H98" i="325"/>
  <c r="I98" i="325"/>
  <c r="J98" i="325"/>
  <c r="H94" i="325"/>
  <c r="I94" i="325" s="1"/>
  <c r="J94" i="325" s="1"/>
  <c r="D78" i="325"/>
  <c r="D77" i="325"/>
  <c r="D79" i="325"/>
  <c r="D80" i="325"/>
  <c r="D81" i="325"/>
  <c r="D82" i="325"/>
  <c r="D83" i="325"/>
  <c r="D84" i="325"/>
  <c r="D85" i="325"/>
  <c r="D86" i="325"/>
  <c r="D87" i="325"/>
  <c r="D88" i="325"/>
  <c r="D89" i="325"/>
  <c r="D90" i="325"/>
  <c r="D91" i="325"/>
  <c r="D92" i="325"/>
  <c r="D93" i="325"/>
  <c r="D94" i="325"/>
  <c r="D95" i="325"/>
  <c r="D96" i="325"/>
  <c r="D97" i="325"/>
  <c r="D98" i="325"/>
  <c r="E78" i="325"/>
  <c r="E77" i="325"/>
  <c r="E79" i="325"/>
  <c r="E80" i="325"/>
  <c r="E81" i="325"/>
  <c r="E82" i="325"/>
  <c r="E83" i="325"/>
  <c r="E84" i="325"/>
  <c r="E85" i="325"/>
  <c r="E86" i="325"/>
  <c r="E87" i="325"/>
  <c r="E88" i="325"/>
  <c r="E89" i="325"/>
  <c r="E90" i="325"/>
  <c r="E91" i="325"/>
  <c r="E92" i="325"/>
  <c r="E93" i="325"/>
  <c r="E94" i="325"/>
  <c r="E95" i="325"/>
  <c r="E96" i="325"/>
  <c r="E97" i="325"/>
  <c r="E98" i="325"/>
  <c r="F78" i="325"/>
  <c r="F79" i="325"/>
  <c r="F77" i="325"/>
  <c r="F80" i="325"/>
  <c r="F81" i="325"/>
  <c r="F82" i="325"/>
  <c r="F83" i="325"/>
  <c r="F84" i="325"/>
  <c r="F85" i="325"/>
  <c r="F86" i="325"/>
  <c r="F87" i="325"/>
  <c r="F88" i="325"/>
  <c r="F89" i="325"/>
  <c r="F90" i="325"/>
  <c r="F91" i="325"/>
  <c r="F92" i="325"/>
  <c r="F93" i="325"/>
  <c r="F94" i="325"/>
  <c r="F95" i="325"/>
  <c r="F96" i="325"/>
  <c r="F97" i="325"/>
  <c r="F98" i="325"/>
  <c r="H73" i="325"/>
  <c r="G73" i="325"/>
  <c r="G70" i="325"/>
  <c r="G71" i="325"/>
  <c r="G72" i="325"/>
  <c r="I72" i="325" s="1"/>
  <c r="J72" i="325" s="1"/>
  <c r="H70" i="325"/>
  <c r="H69" i="325" s="1"/>
  <c r="H71" i="325"/>
  <c r="I71" i="325" s="1"/>
  <c r="H72" i="325"/>
  <c r="I74" i="325"/>
  <c r="J74" i="325"/>
  <c r="D70" i="325"/>
  <c r="D71" i="325"/>
  <c r="D72" i="325"/>
  <c r="D73" i="325"/>
  <c r="E70" i="325"/>
  <c r="E71" i="325"/>
  <c r="E72" i="325"/>
  <c r="E73" i="325"/>
  <c r="F70" i="325"/>
  <c r="F71" i="325"/>
  <c r="F72" i="325"/>
  <c r="F73" i="325"/>
  <c r="K70" i="325"/>
  <c r="K71" i="325"/>
  <c r="K72" i="325"/>
  <c r="K73" i="325"/>
  <c r="H62" i="325"/>
  <c r="G62" i="325"/>
  <c r="H66" i="325"/>
  <c r="G66" i="325"/>
  <c r="H64" i="325"/>
  <c r="G64" i="325"/>
  <c r="I64" i="325"/>
  <c r="J64" i="325" s="1"/>
  <c r="H65" i="325"/>
  <c r="H67" i="325"/>
  <c r="I67" i="325" s="1"/>
  <c r="H68" i="325"/>
  <c r="G67" i="325"/>
  <c r="J67" i="325"/>
  <c r="G65" i="325"/>
  <c r="I65" i="325"/>
  <c r="J65" i="325" s="1"/>
  <c r="G68" i="325"/>
  <c r="I68" i="325" s="1"/>
  <c r="D65" i="325"/>
  <c r="D64" i="325"/>
  <c r="D66" i="325"/>
  <c r="D67" i="325"/>
  <c r="D68" i="325"/>
  <c r="E65" i="325"/>
  <c r="E64" i="325"/>
  <c r="E66" i="325"/>
  <c r="E67" i="325"/>
  <c r="E68" i="325"/>
  <c r="E63" i="325"/>
  <c r="F65" i="325"/>
  <c r="F64" i="325"/>
  <c r="F66" i="325"/>
  <c r="F67" i="325"/>
  <c r="F68" i="325"/>
  <c r="K65" i="325"/>
  <c r="K64" i="325"/>
  <c r="K66" i="325"/>
  <c r="K67" i="325"/>
  <c r="K68" i="325"/>
  <c r="D55" i="325"/>
  <c r="D54" i="325"/>
  <c r="D56" i="325"/>
  <c r="D57" i="325"/>
  <c r="D58" i="325"/>
  <c r="D59" i="325"/>
  <c r="D60" i="325"/>
  <c r="D61" i="325"/>
  <c r="D62" i="325"/>
  <c r="E55" i="325"/>
  <c r="F55" i="325"/>
  <c r="G55" i="325"/>
  <c r="H55" i="325"/>
  <c r="K55" i="325"/>
  <c r="K54" i="325"/>
  <c r="K56" i="325"/>
  <c r="K57" i="325"/>
  <c r="K58" i="325"/>
  <c r="K59" i="325"/>
  <c r="K60" i="325"/>
  <c r="K61" i="325"/>
  <c r="K62" i="325"/>
  <c r="K53" i="325"/>
  <c r="E56" i="325"/>
  <c r="F56" i="325"/>
  <c r="F54" i="325"/>
  <c r="F57" i="325"/>
  <c r="F58" i="325"/>
  <c r="F59" i="325"/>
  <c r="F60" i="325"/>
  <c r="F61" i="325"/>
  <c r="F62" i="325"/>
  <c r="G56" i="325"/>
  <c r="H56" i="325"/>
  <c r="I56" i="325" s="1"/>
  <c r="J56" i="325" s="1"/>
  <c r="G54" i="325"/>
  <c r="G57" i="325"/>
  <c r="G58" i="325"/>
  <c r="I58" i="325" s="1"/>
  <c r="J58" i="325" s="1"/>
  <c r="H58" i="325"/>
  <c r="G59" i="325"/>
  <c r="H59" i="325"/>
  <c r="I59" i="325"/>
  <c r="G60" i="325"/>
  <c r="G61" i="325"/>
  <c r="H61" i="325"/>
  <c r="H57" i="325"/>
  <c r="H54" i="325"/>
  <c r="H60" i="325"/>
  <c r="E57" i="325"/>
  <c r="E54" i="325"/>
  <c r="E58" i="325"/>
  <c r="E59" i="325"/>
  <c r="E60" i="325"/>
  <c r="E61" i="325"/>
  <c r="E62" i="325"/>
  <c r="H50" i="325"/>
  <c r="G50" i="325"/>
  <c r="I50" i="325"/>
  <c r="J50" i="325"/>
  <c r="H46" i="325"/>
  <c r="H47" i="325"/>
  <c r="H48" i="325"/>
  <c r="H49" i="325"/>
  <c r="H51" i="325"/>
  <c r="G51" i="325"/>
  <c r="H52" i="325"/>
  <c r="D47" i="325"/>
  <c r="D46" i="325"/>
  <c r="D48" i="325"/>
  <c r="D49" i="325"/>
  <c r="D50" i="325"/>
  <c r="D51" i="325"/>
  <c r="D52" i="325"/>
  <c r="E47" i="325"/>
  <c r="F47" i="325"/>
  <c r="F46" i="325"/>
  <c r="F48" i="325"/>
  <c r="F49" i="325"/>
  <c r="F50" i="325"/>
  <c r="F51" i="325"/>
  <c r="F52" i="325"/>
  <c r="G47" i="325"/>
  <c r="G46" i="325"/>
  <c r="G48" i="325"/>
  <c r="G49" i="325"/>
  <c r="G52" i="325"/>
  <c r="K47" i="325"/>
  <c r="K46" i="325"/>
  <c r="K48" i="325"/>
  <c r="K49" i="325"/>
  <c r="K50" i="325"/>
  <c r="K51" i="325"/>
  <c r="K52" i="325"/>
  <c r="E48" i="325"/>
  <c r="E46" i="325"/>
  <c r="E49" i="325"/>
  <c r="E50" i="325"/>
  <c r="E51" i="325"/>
  <c r="E52" i="325"/>
  <c r="H40" i="325"/>
  <c r="I40" i="325" s="1"/>
  <c r="J40" i="325" s="1"/>
  <c r="G40" i="325"/>
  <c r="H39" i="325"/>
  <c r="H41" i="325"/>
  <c r="G41" i="325"/>
  <c r="G38" i="325" s="1"/>
  <c r="H42" i="325"/>
  <c r="I42" i="325" s="1"/>
  <c r="J42" i="325" s="1"/>
  <c r="G42" i="325"/>
  <c r="H43" i="325"/>
  <c r="I43" i="325" s="1"/>
  <c r="J43" i="325" s="1"/>
  <c r="H44" i="325"/>
  <c r="G39" i="325"/>
  <c r="G43" i="325"/>
  <c r="G44" i="325"/>
  <c r="D40" i="325"/>
  <c r="E40" i="325"/>
  <c r="E38" i="325" s="1"/>
  <c r="E39" i="325"/>
  <c r="E41" i="325"/>
  <c r="E42" i="325"/>
  <c r="E43" i="325"/>
  <c r="E44" i="325"/>
  <c r="F40" i="325"/>
  <c r="F39" i="325"/>
  <c r="F41" i="325"/>
  <c r="F38" i="325" s="1"/>
  <c r="F42" i="325"/>
  <c r="F43" i="325"/>
  <c r="F44" i="325"/>
  <c r="K40" i="325"/>
  <c r="K39" i="325"/>
  <c r="K41" i="325"/>
  <c r="K42" i="325"/>
  <c r="K43" i="325"/>
  <c r="K44" i="325"/>
  <c r="D41" i="325"/>
  <c r="D39" i="325"/>
  <c r="D42" i="325"/>
  <c r="D43" i="325"/>
  <c r="D44" i="325"/>
  <c r="H33" i="325"/>
  <c r="G33" i="325"/>
  <c r="G28" i="325"/>
  <c r="G29" i="325"/>
  <c r="G30" i="325"/>
  <c r="G31" i="325"/>
  <c r="G32" i="325"/>
  <c r="G34" i="325"/>
  <c r="G35" i="325"/>
  <c r="I35" i="325" s="1"/>
  <c r="J35" i="325" s="1"/>
  <c r="G36" i="325"/>
  <c r="I36" i="325" s="1"/>
  <c r="J36" i="325" s="1"/>
  <c r="G37" i="325"/>
  <c r="H28" i="325"/>
  <c r="I28" i="325" s="1"/>
  <c r="J28" i="325" s="1"/>
  <c r="H29" i="325"/>
  <c r="I29" i="325"/>
  <c r="H30" i="325"/>
  <c r="I30" i="325"/>
  <c r="J30" i="325" s="1"/>
  <c r="H31" i="325"/>
  <c r="I31" i="325" s="1"/>
  <c r="J31" i="325" s="1"/>
  <c r="H32" i="325"/>
  <c r="I32" i="325"/>
  <c r="J32" i="325"/>
  <c r="H34" i="325"/>
  <c r="H35" i="325"/>
  <c r="H36" i="325"/>
  <c r="H37" i="325"/>
  <c r="D29" i="325"/>
  <c r="D28" i="325"/>
  <c r="D30" i="325"/>
  <c r="D31" i="325"/>
  <c r="D32" i="325"/>
  <c r="D33" i="325"/>
  <c r="D34" i="325"/>
  <c r="D35" i="325"/>
  <c r="D36" i="325"/>
  <c r="D37" i="325"/>
  <c r="E29" i="325"/>
  <c r="F29" i="325"/>
  <c r="F28" i="325"/>
  <c r="F30" i="325"/>
  <c r="F31" i="325"/>
  <c r="F32" i="325"/>
  <c r="F33" i="325"/>
  <c r="F34" i="325"/>
  <c r="F35" i="325"/>
  <c r="F36" i="325"/>
  <c r="F37" i="325"/>
  <c r="K29" i="325"/>
  <c r="E30" i="325"/>
  <c r="K30" i="325"/>
  <c r="K28" i="325"/>
  <c r="K31" i="325"/>
  <c r="K32" i="325"/>
  <c r="K33" i="325"/>
  <c r="K34" i="325"/>
  <c r="K35" i="325"/>
  <c r="K36" i="325"/>
  <c r="K37" i="325"/>
  <c r="E31" i="325"/>
  <c r="E32" i="325"/>
  <c r="E28" i="325"/>
  <c r="E33" i="325"/>
  <c r="E34" i="325"/>
  <c r="E35" i="325"/>
  <c r="E36" i="325"/>
  <c r="E37" i="325"/>
  <c r="D18" i="325"/>
  <c r="D19" i="325"/>
  <c r="D20" i="325"/>
  <c r="D21" i="325"/>
  <c r="D22" i="325"/>
  <c r="D23" i="325"/>
  <c r="D24" i="325"/>
  <c r="D25" i="325"/>
  <c r="D26" i="325"/>
  <c r="E18" i="325"/>
  <c r="E19" i="325"/>
  <c r="E20" i="325"/>
  <c r="E21" i="325"/>
  <c r="E22" i="325"/>
  <c r="E23" i="325"/>
  <c r="E24" i="325"/>
  <c r="E25" i="325"/>
  <c r="E26" i="325"/>
  <c r="F18" i="325"/>
  <c r="F19" i="325"/>
  <c r="F20" i="325"/>
  <c r="F21" i="325"/>
  <c r="F22" i="325"/>
  <c r="F23" i="325"/>
  <c r="F24" i="325"/>
  <c r="F25" i="325"/>
  <c r="F26" i="325"/>
  <c r="K18" i="325"/>
  <c r="K19" i="325"/>
  <c r="K20" i="325"/>
  <c r="K21" i="325"/>
  <c r="K22" i="325"/>
  <c r="K23" i="325"/>
  <c r="K24" i="325"/>
  <c r="K25" i="325"/>
  <c r="K26" i="325"/>
  <c r="E9" i="325"/>
  <c r="E10" i="325"/>
  <c r="E11" i="325"/>
  <c r="E12" i="325"/>
  <c r="E14" i="325"/>
  <c r="E13" i="325" s="1"/>
  <c r="E15" i="325"/>
  <c r="E16" i="325"/>
  <c r="F9" i="325"/>
  <c r="F10" i="325"/>
  <c r="F11" i="325"/>
  <c r="F12" i="325"/>
  <c r="F8" i="325"/>
  <c r="F14" i="325"/>
  <c r="F15" i="325"/>
  <c r="F16" i="325"/>
  <c r="D15" i="325"/>
  <c r="D14" i="325"/>
  <c r="D16" i="325"/>
  <c r="D9" i="325"/>
  <c r="D10" i="325"/>
  <c r="D11" i="325"/>
  <c r="D12" i="325"/>
  <c r="K15" i="325"/>
  <c r="K14" i="325"/>
  <c r="K16" i="325"/>
  <c r="K10" i="325"/>
  <c r="K9" i="325"/>
  <c r="K11" i="325"/>
  <c r="K12" i="325"/>
  <c r="I159" i="333"/>
  <c r="J159" i="333" s="1"/>
  <c r="D161" i="333"/>
  <c r="D160" i="333"/>
  <c r="E161" i="333"/>
  <c r="E160" i="333"/>
  <c r="F161" i="333"/>
  <c r="F160" i="333" s="1"/>
  <c r="K161" i="333"/>
  <c r="K160" i="333" s="1"/>
  <c r="D158" i="333"/>
  <c r="D157" i="333"/>
  <c r="E158" i="333"/>
  <c r="E157" i="333" s="1"/>
  <c r="F158" i="333"/>
  <c r="F157" i="333" s="1"/>
  <c r="K158" i="333"/>
  <c r="K157" i="333" s="1"/>
  <c r="I150" i="333"/>
  <c r="J150" i="333"/>
  <c r="I153" i="333"/>
  <c r="J153" i="333" s="1"/>
  <c r="I156" i="333"/>
  <c r="J156" i="333" s="1"/>
  <c r="D155" i="333"/>
  <c r="D154" i="333" s="1"/>
  <c r="E155" i="333"/>
  <c r="E154" i="333"/>
  <c r="F155" i="333"/>
  <c r="F154" i="333"/>
  <c r="K155" i="333"/>
  <c r="K154" i="333" s="1"/>
  <c r="D152" i="333"/>
  <c r="D151" i="333" s="1"/>
  <c r="E152" i="333"/>
  <c r="E151" i="333"/>
  <c r="F152" i="333"/>
  <c r="F151" i="333"/>
  <c r="K152" i="333"/>
  <c r="K151" i="333" s="1"/>
  <c r="D149" i="333"/>
  <c r="D148" i="333" s="1"/>
  <c r="E149" i="333"/>
  <c r="E148" i="333"/>
  <c r="F149" i="333"/>
  <c r="F148" i="333" s="1"/>
  <c r="K149" i="333"/>
  <c r="K148" i="333" s="1"/>
  <c r="D141" i="333"/>
  <c r="D142" i="333"/>
  <c r="D143" i="333"/>
  <c r="D144" i="333"/>
  <c r="D145" i="333"/>
  <c r="D140" i="333" s="1"/>
  <c r="D138" i="333" s="1"/>
  <c r="D146" i="333"/>
  <c r="E141" i="333"/>
  <c r="E142" i="333"/>
  <c r="E143" i="333"/>
  <c r="E144" i="333"/>
  <c r="E145" i="333"/>
  <c r="E140" i="333" s="1"/>
  <c r="E146" i="333"/>
  <c r="F141" i="333"/>
  <c r="F142" i="333"/>
  <c r="F143" i="333"/>
  <c r="F144" i="333"/>
  <c r="F145" i="333"/>
  <c r="F146" i="333"/>
  <c r="K141" i="333"/>
  <c r="K142" i="333"/>
  <c r="K143" i="333"/>
  <c r="K144" i="333"/>
  <c r="K145" i="333"/>
  <c r="K146" i="333"/>
  <c r="D131" i="333"/>
  <c r="D130" i="333" s="1"/>
  <c r="D132" i="333"/>
  <c r="D133" i="333"/>
  <c r="D119" i="333"/>
  <c r="D120" i="333"/>
  <c r="D121" i="333"/>
  <c r="D122" i="333"/>
  <c r="D118" i="333" s="1"/>
  <c r="D117" i="333" s="1"/>
  <c r="D123" i="333"/>
  <c r="D124" i="333"/>
  <c r="D125" i="333"/>
  <c r="D126" i="333"/>
  <c r="D127" i="333"/>
  <c r="D128" i="333"/>
  <c r="D129" i="333"/>
  <c r="E131" i="333"/>
  <c r="E132" i="333"/>
  <c r="E133" i="333"/>
  <c r="F131" i="333"/>
  <c r="F130" i="333" s="1"/>
  <c r="F132" i="333"/>
  <c r="F133" i="333"/>
  <c r="K131" i="333"/>
  <c r="K132" i="333"/>
  <c r="K133" i="333"/>
  <c r="E119" i="333"/>
  <c r="E120" i="333"/>
  <c r="E121" i="333"/>
  <c r="E122" i="333"/>
  <c r="E123" i="333"/>
  <c r="E124" i="333"/>
  <c r="E125" i="333"/>
  <c r="E126" i="333"/>
  <c r="E127" i="333"/>
  <c r="E128" i="333"/>
  <c r="E129" i="333"/>
  <c r="F119" i="333"/>
  <c r="F120" i="333"/>
  <c r="F121" i="333"/>
  <c r="F122" i="333"/>
  <c r="F123" i="333"/>
  <c r="F124" i="333"/>
  <c r="F125" i="333"/>
  <c r="F126" i="333"/>
  <c r="F127" i="333"/>
  <c r="F128" i="333"/>
  <c r="F129" i="333"/>
  <c r="K119" i="333"/>
  <c r="K120" i="333"/>
  <c r="K118" i="333" s="1"/>
  <c r="K117" i="333" s="1"/>
  <c r="K121" i="333"/>
  <c r="K122" i="333"/>
  <c r="K123" i="333"/>
  <c r="K124" i="333"/>
  <c r="K125" i="333"/>
  <c r="K126" i="333"/>
  <c r="K127" i="333"/>
  <c r="K128" i="333"/>
  <c r="K129" i="333"/>
  <c r="D115" i="333"/>
  <c r="D116" i="333"/>
  <c r="D112" i="333"/>
  <c r="D113" i="333"/>
  <c r="E115" i="333"/>
  <c r="E116" i="333"/>
  <c r="E114" i="333"/>
  <c r="E112" i="333"/>
  <c r="E111" i="333" s="1"/>
  <c r="E110" i="333" s="1"/>
  <c r="E113" i="333"/>
  <c r="F115" i="333"/>
  <c r="F116" i="333"/>
  <c r="F114" i="333"/>
  <c r="F112" i="333"/>
  <c r="F113" i="333"/>
  <c r="K115" i="333"/>
  <c r="K116" i="333"/>
  <c r="K112" i="333"/>
  <c r="K113" i="333"/>
  <c r="I109" i="333"/>
  <c r="J109" i="333" s="1"/>
  <c r="D104" i="333"/>
  <c r="D105" i="333"/>
  <c r="D106" i="333"/>
  <c r="D107" i="333"/>
  <c r="D108" i="333"/>
  <c r="E104" i="333"/>
  <c r="F104" i="333"/>
  <c r="F103" i="333" s="1"/>
  <c r="F105" i="333"/>
  <c r="F106" i="333"/>
  <c r="F107" i="333"/>
  <c r="F108" i="333"/>
  <c r="K104" i="333"/>
  <c r="K105" i="333"/>
  <c r="K106" i="333"/>
  <c r="K107" i="333"/>
  <c r="K108" i="333"/>
  <c r="E105" i="333"/>
  <c r="E106" i="333"/>
  <c r="E107" i="333"/>
  <c r="E108" i="333"/>
  <c r="D101" i="333"/>
  <c r="D99" i="333" s="1"/>
  <c r="E101" i="333"/>
  <c r="E100" i="333"/>
  <c r="E99" i="333" s="1"/>
  <c r="E102" i="333"/>
  <c r="F101" i="333"/>
  <c r="F100" i="333"/>
  <c r="F102" i="333"/>
  <c r="K101" i="333"/>
  <c r="K100" i="333"/>
  <c r="K99" i="333" s="1"/>
  <c r="K102" i="333"/>
  <c r="D102" i="333"/>
  <c r="D100" i="333"/>
  <c r="D77" i="333"/>
  <c r="D78" i="333"/>
  <c r="D79" i="333"/>
  <c r="D80" i="333"/>
  <c r="D81" i="333"/>
  <c r="D82" i="333"/>
  <c r="D83" i="333"/>
  <c r="D84" i="333"/>
  <c r="D85" i="333"/>
  <c r="D86" i="333"/>
  <c r="D87" i="333"/>
  <c r="D88" i="333"/>
  <c r="D89" i="333"/>
  <c r="D90" i="333"/>
  <c r="D91" i="333"/>
  <c r="D92" i="333"/>
  <c r="D93" i="333"/>
  <c r="D94" i="333"/>
  <c r="D95" i="333"/>
  <c r="D96" i="333"/>
  <c r="D97" i="333"/>
  <c r="D98" i="333"/>
  <c r="E77" i="333"/>
  <c r="E78" i="333"/>
  <c r="E79" i="333"/>
  <c r="E80" i="333"/>
  <c r="E81" i="333"/>
  <c r="E82" i="333"/>
  <c r="E83" i="333"/>
  <c r="E84" i="333"/>
  <c r="E85" i="333"/>
  <c r="E86" i="333"/>
  <c r="E87" i="333"/>
  <c r="E88" i="333"/>
  <c r="E89" i="333"/>
  <c r="E90" i="333"/>
  <c r="E91" i="333"/>
  <c r="E92" i="333"/>
  <c r="E93" i="333"/>
  <c r="E94" i="333"/>
  <c r="E95" i="333"/>
  <c r="E96" i="333"/>
  <c r="E97" i="333"/>
  <c r="E98" i="333"/>
  <c r="F89" i="333"/>
  <c r="K89" i="333"/>
  <c r="F90" i="333"/>
  <c r="K90" i="333"/>
  <c r="F91" i="333"/>
  <c r="K91" i="333"/>
  <c r="F92" i="333"/>
  <c r="K92" i="333"/>
  <c r="F93" i="333"/>
  <c r="K93" i="333"/>
  <c r="F94" i="333"/>
  <c r="K94" i="333"/>
  <c r="F95" i="333"/>
  <c r="K95" i="333"/>
  <c r="F96" i="333"/>
  <c r="K96" i="333"/>
  <c r="F97" i="333"/>
  <c r="K97" i="333"/>
  <c r="F98" i="333"/>
  <c r="K98" i="333"/>
  <c r="F78" i="333"/>
  <c r="F77" i="333"/>
  <c r="F79" i="333"/>
  <c r="F80" i="333"/>
  <c r="F81" i="333"/>
  <c r="F82" i="333"/>
  <c r="F83" i="333"/>
  <c r="F84" i="333"/>
  <c r="F85" i="333"/>
  <c r="F86" i="333"/>
  <c r="F87" i="333"/>
  <c r="F88" i="333"/>
  <c r="F76" i="333"/>
  <c r="K78" i="333"/>
  <c r="K77" i="333"/>
  <c r="K79" i="333"/>
  <c r="K80" i="333"/>
  <c r="K81" i="333"/>
  <c r="K82" i="333"/>
  <c r="K83" i="333"/>
  <c r="K84" i="333"/>
  <c r="K85" i="333"/>
  <c r="K86" i="333"/>
  <c r="K87" i="333"/>
  <c r="K88" i="333"/>
  <c r="D71" i="333"/>
  <c r="D70" i="333"/>
  <c r="D69" i="333" s="1"/>
  <c r="D72" i="333"/>
  <c r="D73" i="333"/>
  <c r="E71" i="333"/>
  <c r="E70" i="333"/>
  <c r="E72" i="333"/>
  <c r="E73" i="333"/>
  <c r="E69" i="333"/>
  <c r="E9" i="333"/>
  <c r="E10" i="333"/>
  <c r="E11" i="333"/>
  <c r="E12" i="333"/>
  <c r="E14" i="333"/>
  <c r="E15" i="333"/>
  <c r="E16" i="333"/>
  <c r="E18" i="333"/>
  <c r="E19" i="333"/>
  <c r="E20" i="333"/>
  <c r="E21" i="333"/>
  <c r="E22" i="333"/>
  <c r="E23" i="333"/>
  <c r="E24" i="333"/>
  <c r="E25" i="333"/>
  <c r="E26" i="333"/>
  <c r="E28" i="333"/>
  <c r="E27" i="333" s="1"/>
  <c r="E29" i="333"/>
  <c r="E30" i="333"/>
  <c r="E31" i="333"/>
  <c r="E32" i="333"/>
  <c r="E33" i="333"/>
  <c r="E34" i="333"/>
  <c r="E35" i="333"/>
  <c r="E36" i="333"/>
  <c r="E37" i="333"/>
  <c r="E39" i="333"/>
  <c r="E40" i="333"/>
  <c r="E41" i="333"/>
  <c r="E42" i="333"/>
  <c r="E43" i="333"/>
  <c r="E44" i="333"/>
  <c r="E46" i="333"/>
  <c r="E47" i="333"/>
  <c r="E48" i="333"/>
  <c r="E49" i="333"/>
  <c r="E45" i="333" s="1"/>
  <c r="E50" i="333"/>
  <c r="E51" i="333"/>
  <c r="E52" i="333"/>
  <c r="E54" i="333"/>
  <c r="E53" i="333" s="1"/>
  <c r="E55" i="333"/>
  <c r="E56" i="333"/>
  <c r="E57" i="333"/>
  <c r="E58" i="333"/>
  <c r="E59" i="333"/>
  <c r="E60" i="333"/>
  <c r="E61" i="333"/>
  <c r="E62" i="333"/>
  <c r="E64" i="333"/>
  <c r="E65" i="333"/>
  <c r="E63" i="333" s="1"/>
  <c r="E66" i="333"/>
  <c r="E67" i="333"/>
  <c r="E68" i="333"/>
  <c r="F71" i="333"/>
  <c r="F70" i="333"/>
  <c r="F72" i="333"/>
  <c r="F73" i="333"/>
  <c r="F69" i="333"/>
  <c r="K71" i="333"/>
  <c r="K70" i="333"/>
  <c r="K69" i="333" s="1"/>
  <c r="K72" i="333"/>
  <c r="K73" i="333"/>
  <c r="D65" i="333"/>
  <c r="D64" i="333"/>
  <c r="D66" i="333"/>
  <c r="D67" i="333"/>
  <c r="D63" i="333" s="1"/>
  <c r="D68" i="333"/>
  <c r="F65" i="333"/>
  <c r="F64" i="333"/>
  <c r="F66" i="333"/>
  <c r="F67" i="333"/>
  <c r="F68" i="333"/>
  <c r="F63" i="333"/>
  <c r="K65" i="333"/>
  <c r="K63" i="333" s="1"/>
  <c r="K64" i="333"/>
  <c r="K66" i="333"/>
  <c r="K67" i="333"/>
  <c r="K68" i="333"/>
  <c r="D55" i="333"/>
  <c r="D54" i="333"/>
  <c r="D56" i="333"/>
  <c r="D57" i="333"/>
  <c r="D58" i="333"/>
  <c r="D59" i="333"/>
  <c r="D60" i="333"/>
  <c r="D61" i="333"/>
  <c r="D62" i="333"/>
  <c r="F55" i="333"/>
  <c r="F54" i="333"/>
  <c r="F56" i="333"/>
  <c r="F53" i="333" s="1"/>
  <c r="F57" i="333"/>
  <c r="F58" i="333"/>
  <c r="F59" i="333"/>
  <c r="F60" i="333"/>
  <c r="F61" i="333"/>
  <c r="F62" i="333"/>
  <c r="K55" i="333"/>
  <c r="K54" i="333"/>
  <c r="K56" i="333"/>
  <c r="K57" i="333"/>
  <c r="K58" i="333"/>
  <c r="K59" i="333"/>
  <c r="K60" i="333"/>
  <c r="K61" i="333"/>
  <c r="K62" i="333"/>
  <c r="K9" i="333"/>
  <c r="K10" i="333"/>
  <c r="K11" i="333"/>
  <c r="K12" i="333"/>
  <c r="K14" i="333"/>
  <c r="K15" i="333"/>
  <c r="K16" i="333"/>
  <c r="K18" i="333"/>
  <c r="K17" i="333" s="1"/>
  <c r="K19" i="333"/>
  <c r="K20" i="333"/>
  <c r="K21" i="333"/>
  <c r="K22" i="333"/>
  <c r="K23" i="333"/>
  <c r="K24" i="333"/>
  <c r="K25" i="333"/>
  <c r="K26" i="333"/>
  <c r="K28" i="333"/>
  <c r="K29" i="333"/>
  <c r="K30" i="333"/>
  <c r="K31" i="333"/>
  <c r="K32" i="333"/>
  <c r="K33" i="333"/>
  <c r="K34" i="333"/>
  <c r="K35" i="333"/>
  <c r="K36" i="333"/>
  <c r="K37" i="333"/>
  <c r="K39" i="333"/>
  <c r="K40" i="333"/>
  <c r="K41" i="333"/>
  <c r="K42" i="333"/>
  <c r="K43" i="333"/>
  <c r="K44" i="333"/>
  <c r="K46" i="333"/>
  <c r="K47" i="333"/>
  <c r="K48" i="333"/>
  <c r="K49" i="333"/>
  <c r="K50" i="333"/>
  <c r="K51" i="333"/>
  <c r="K52" i="333"/>
  <c r="D47" i="333"/>
  <c r="F47" i="333"/>
  <c r="F46" i="333"/>
  <c r="F48" i="333"/>
  <c r="F49" i="333"/>
  <c r="F50" i="333"/>
  <c r="F51" i="333"/>
  <c r="F52" i="333"/>
  <c r="D48" i="333"/>
  <c r="D46" i="333"/>
  <c r="D49" i="333"/>
  <c r="D45" i="333" s="1"/>
  <c r="D50" i="333"/>
  <c r="D51" i="333"/>
  <c r="D52" i="333"/>
  <c r="D40" i="333"/>
  <c r="D39" i="333"/>
  <c r="D41" i="333"/>
  <c r="D38" i="333" s="1"/>
  <c r="D42" i="333"/>
  <c r="D43" i="333"/>
  <c r="D44" i="333"/>
  <c r="F40" i="333"/>
  <c r="F39" i="333"/>
  <c r="F41" i="333"/>
  <c r="F42" i="333"/>
  <c r="F43" i="333"/>
  <c r="F38" i="333" s="1"/>
  <c r="F44" i="333"/>
  <c r="D29" i="333"/>
  <c r="F29" i="333"/>
  <c r="F28" i="333"/>
  <c r="F30" i="333"/>
  <c r="F31" i="333"/>
  <c r="F32" i="333"/>
  <c r="F33" i="333"/>
  <c r="F34" i="333"/>
  <c r="F35" i="333"/>
  <c r="F36" i="333"/>
  <c r="F37" i="333"/>
  <c r="D30" i="333"/>
  <c r="D28" i="333"/>
  <c r="D31" i="333"/>
  <c r="D27" i="333" s="1"/>
  <c r="D32" i="333"/>
  <c r="D33" i="333"/>
  <c r="D34" i="333"/>
  <c r="D35" i="333"/>
  <c r="D36" i="333"/>
  <c r="D37" i="333"/>
  <c r="D19" i="333"/>
  <c r="F19" i="333"/>
  <c r="F18" i="333"/>
  <c r="F20" i="333"/>
  <c r="F21" i="333"/>
  <c r="F22" i="333"/>
  <c r="F23" i="333"/>
  <c r="F24" i="333"/>
  <c r="F25" i="333"/>
  <c r="F26" i="333"/>
  <c r="D20" i="333"/>
  <c r="D18" i="333"/>
  <c r="D21" i="333"/>
  <c r="D22" i="333"/>
  <c r="D23" i="333"/>
  <c r="D24" i="333"/>
  <c r="D25" i="333"/>
  <c r="D26" i="333"/>
  <c r="D15" i="333"/>
  <c r="D14" i="333"/>
  <c r="D13" i="333" s="1"/>
  <c r="D16" i="333"/>
  <c r="F15" i="333"/>
  <c r="F14" i="333"/>
  <c r="F16" i="333"/>
  <c r="D10" i="333"/>
  <c r="D9" i="333"/>
  <c r="D11" i="333"/>
  <c r="D12" i="333"/>
  <c r="F10" i="333"/>
  <c r="F9" i="333"/>
  <c r="F11" i="333"/>
  <c r="F12" i="333"/>
  <c r="J103" i="172"/>
  <c r="L215" i="324"/>
  <c r="M215" i="324"/>
  <c r="N215" i="324"/>
  <c r="O215" i="324"/>
  <c r="P215" i="324"/>
  <c r="Q215" i="324"/>
  <c r="R215" i="324"/>
  <c r="S215" i="324"/>
  <c r="T215" i="324"/>
  <c r="U215" i="324"/>
  <c r="V215" i="324"/>
  <c r="W215" i="324"/>
  <c r="L198" i="324"/>
  <c r="M198" i="324"/>
  <c r="N198" i="324"/>
  <c r="O198" i="324"/>
  <c r="P198" i="324"/>
  <c r="Q198" i="324"/>
  <c r="R198" i="324"/>
  <c r="S198" i="324"/>
  <c r="T198" i="324"/>
  <c r="U198" i="324"/>
  <c r="V198" i="324"/>
  <c r="W198" i="324"/>
  <c r="L173" i="324"/>
  <c r="M173" i="324"/>
  <c r="N173" i="324"/>
  <c r="O173" i="324"/>
  <c r="P173" i="324"/>
  <c r="Q173" i="324"/>
  <c r="R173" i="324"/>
  <c r="S173" i="324"/>
  <c r="T173" i="324"/>
  <c r="U173" i="324"/>
  <c r="V173" i="324"/>
  <c r="W173" i="324"/>
  <c r="L156" i="324"/>
  <c r="M156" i="324"/>
  <c r="N156" i="324"/>
  <c r="O156" i="324"/>
  <c r="P156" i="324"/>
  <c r="Q156" i="324"/>
  <c r="R156" i="324"/>
  <c r="S156" i="324"/>
  <c r="T156" i="324"/>
  <c r="U156" i="324"/>
  <c r="V156" i="324"/>
  <c r="W156" i="324"/>
  <c r="L115" i="323"/>
  <c r="M115" i="323"/>
  <c r="N115" i="323"/>
  <c r="O115" i="323"/>
  <c r="P115" i="323"/>
  <c r="Q115" i="323"/>
  <c r="R115" i="323"/>
  <c r="S115" i="323"/>
  <c r="T115" i="323"/>
  <c r="U115" i="323"/>
  <c r="V115" i="323"/>
  <c r="W115" i="323"/>
  <c r="L184" i="323"/>
  <c r="M184" i="323"/>
  <c r="N184" i="323"/>
  <c r="O184" i="323"/>
  <c r="P184" i="323"/>
  <c r="Q184" i="323"/>
  <c r="R184" i="323"/>
  <c r="S184" i="323"/>
  <c r="T184" i="323"/>
  <c r="U184" i="323"/>
  <c r="V184" i="323"/>
  <c r="W184" i="323"/>
  <c r="L137" i="323"/>
  <c r="M137" i="323"/>
  <c r="N137" i="323"/>
  <c r="O137" i="323"/>
  <c r="P137" i="323"/>
  <c r="Q137" i="323"/>
  <c r="R137" i="323"/>
  <c r="S137" i="323"/>
  <c r="T137" i="323"/>
  <c r="U137" i="323"/>
  <c r="V137" i="323"/>
  <c r="W137" i="323"/>
  <c r="A19" i="323"/>
  <c r="A127" i="323"/>
  <c r="C32" i="267"/>
  <c r="L200" i="323"/>
  <c r="M200" i="323"/>
  <c r="N200" i="323"/>
  <c r="O200" i="323"/>
  <c r="P200" i="323"/>
  <c r="Q200" i="323"/>
  <c r="R200" i="323"/>
  <c r="S200" i="323"/>
  <c r="T200" i="323"/>
  <c r="U200" i="323"/>
  <c r="V200" i="323"/>
  <c r="W200" i="323"/>
  <c r="A211" i="323"/>
  <c r="A212" i="323"/>
  <c r="A213" i="323"/>
  <c r="A194" i="323"/>
  <c r="A195" i="323"/>
  <c r="A196" i="323"/>
  <c r="A152" i="323"/>
  <c r="A153" i="323"/>
  <c r="A154" i="323"/>
  <c r="A125" i="323"/>
  <c r="A126" i="323"/>
  <c r="A103" i="323"/>
  <c r="A104" i="323"/>
  <c r="A105" i="323"/>
  <c r="A88" i="323"/>
  <c r="A86" i="323"/>
  <c r="A87" i="323"/>
  <c r="A44" i="323"/>
  <c r="A45" i="323"/>
  <c r="A46" i="323"/>
  <c r="A17" i="323"/>
  <c r="A18" i="323"/>
  <c r="L142" i="324"/>
  <c r="M142" i="324"/>
  <c r="N142" i="324"/>
  <c r="O142" i="324"/>
  <c r="P142" i="324"/>
  <c r="Q142" i="324"/>
  <c r="R142" i="324"/>
  <c r="S142" i="324"/>
  <c r="T142" i="324"/>
  <c r="U142" i="324"/>
  <c r="V142" i="324"/>
  <c r="W142" i="324"/>
  <c r="A211" i="324"/>
  <c r="A212" i="324"/>
  <c r="A213" i="324"/>
  <c r="A194" i="324"/>
  <c r="A195" i="324"/>
  <c r="A196" i="324"/>
  <c r="A152" i="324"/>
  <c r="A153" i="324"/>
  <c r="A154" i="324"/>
  <c r="A126" i="324"/>
  <c r="A127" i="324"/>
  <c r="A103" i="324"/>
  <c r="A104" i="324"/>
  <c r="A105" i="324"/>
  <c r="A86" i="324"/>
  <c r="A87" i="324"/>
  <c r="A88" i="324"/>
  <c r="A44" i="324"/>
  <c r="A45" i="324"/>
  <c r="A46" i="324"/>
  <c r="A18" i="324"/>
  <c r="A19" i="324"/>
  <c r="B6" i="267"/>
  <c r="F9" i="334"/>
  <c r="G9" i="334"/>
  <c r="K169" i="242"/>
  <c r="H169" i="242"/>
  <c r="J169" i="242" s="1"/>
  <c r="G169" i="242"/>
  <c r="F169" i="242"/>
  <c r="E169" i="242"/>
  <c r="D169" i="242"/>
  <c r="D165" i="242" s="1"/>
  <c r="H170" i="335"/>
  <c r="G170" i="335"/>
  <c r="F170" i="335"/>
  <c r="E170" i="335"/>
  <c r="D170" i="335"/>
  <c r="D166" i="335" s="1"/>
  <c r="K48" i="181"/>
  <c r="H48" i="181"/>
  <c r="G48" i="181"/>
  <c r="F48" i="181"/>
  <c r="E48" i="181"/>
  <c r="D48" i="181"/>
  <c r="C48" i="181"/>
  <c r="K33" i="181"/>
  <c r="H33" i="181"/>
  <c r="G33" i="181"/>
  <c r="F33" i="181"/>
  <c r="F49" i="181"/>
  <c r="F52" i="181" s="1"/>
  <c r="F54" i="181" s="1"/>
  <c r="E33" i="181"/>
  <c r="E49" i="181" s="1"/>
  <c r="E52" i="181" s="1"/>
  <c r="E54" i="181" s="1"/>
  <c r="D33" i="181"/>
  <c r="I11" i="181"/>
  <c r="J11" i="181" s="1"/>
  <c r="F76" i="318"/>
  <c r="X36" i="329"/>
  <c r="K170" i="335"/>
  <c r="K167" i="335"/>
  <c r="K166" i="335"/>
  <c r="K170" i="333"/>
  <c r="K167" i="333"/>
  <c r="K166" i="333" s="1"/>
  <c r="H170" i="333"/>
  <c r="G170" i="333"/>
  <c r="F170" i="333"/>
  <c r="E170" i="333"/>
  <c r="D170" i="333"/>
  <c r="D166" i="333"/>
  <c r="H167" i="333"/>
  <c r="G167" i="333"/>
  <c r="F167" i="333"/>
  <c r="F166" i="333"/>
  <c r="E167" i="333"/>
  <c r="E166" i="333"/>
  <c r="D167" i="333"/>
  <c r="K169" i="325"/>
  <c r="K170" i="326"/>
  <c r="K167" i="326"/>
  <c r="K166" i="326" s="1"/>
  <c r="H170" i="326"/>
  <c r="G170" i="326"/>
  <c r="F170" i="326"/>
  <c r="E170" i="326"/>
  <c r="D170" i="326"/>
  <c r="H167" i="326"/>
  <c r="G167" i="326"/>
  <c r="G166" i="326" s="1"/>
  <c r="F167" i="326"/>
  <c r="F166" i="326"/>
  <c r="E167" i="326"/>
  <c r="D167" i="326"/>
  <c r="H169" i="325"/>
  <c r="I169" i="325"/>
  <c r="G169" i="325"/>
  <c r="F169" i="325"/>
  <c r="E169" i="325"/>
  <c r="D169" i="325"/>
  <c r="D165" i="325"/>
  <c r="K166" i="325"/>
  <c r="K165" i="325" s="1"/>
  <c r="A50" i="174"/>
  <c r="I172" i="335"/>
  <c r="I171" i="335"/>
  <c r="C170" i="335"/>
  <c r="H167" i="335"/>
  <c r="G167" i="335"/>
  <c r="G166" i="335" s="1"/>
  <c r="F167" i="335"/>
  <c r="E167" i="335"/>
  <c r="D167" i="335"/>
  <c r="C167" i="335"/>
  <c r="C166" i="335"/>
  <c r="I172" i="333"/>
  <c r="J172" i="333"/>
  <c r="I171" i="333"/>
  <c r="J171" i="333"/>
  <c r="C170" i="333"/>
  <c r="I169" i="333"/>
  <c r="J169" i="333"/>
  <c r="I168" i="333"/>
  <c r="J168" i="333" s="1"/>
  <c r="C167" i="333"/>
  <c r="C166" i="333" s="1"/>
  <c r="C169" i="325"/>
  <c r="H166" i="325"/>
  <c r="H165" i="325"/>
  <c r="G166" i="325"/>
  <c r="G165" i="325" s="1"/>
  <c r="I165" i="325" s="1"/>
  <c r="F166" i="325"/>
  <c r="F165" i="325" s="1"/>
  <c r="E166" i="325"/>
  <c r="E165" i="325" s="1"/>
  <c r="D166" i="325"/>
  <c r="C166" i="325"/>
  <c r="C170" i="326"/>
  <c r="C166" i="326" s="1"/>
  <c r="C167" i="326"/>
  <c r="I171" i="242"/>
  <c r="I170" i="242"/>
  <c r="I168" i="242"/>
  <c r="I167" i="242"/>
  <c r="H166" i="242"/>
  <c r="J166" i="242"/>
  <c r="G166" i="242"/>
  <c r="F166" i="242"/>
  <c r="E166" i="242"/>
  <c r="E165" i="242" s="1"/>
  <c r="D166" i="242"/>
  <c r="C169" i="242"/>
  <c r="C166" i="242"/>
  <c r="C165" i="242" s="1"/>
  <c r="C33" i="181"/>
  <c r="I24" i="181"/>
  <c r="J24" i="181"/>
  <c r="A175" i="335"/>
  <c r="I164" i="333"/>
  <c r="J164" i="333"/>
  <c r="K163" i="333"/>
  <c r="H163" i="333"/>
  <c r="I163" i="333"/>
  <c r="J163" i="333" s="1"/>
  <c r="G163" i="333"/>
  <c r="F163" i="333"/>
  <c r="E163" i="333"/>
  <c r="D163" i="333"/>
  <c r="C163" i="333"/>
  <c r="I139" i="333"/>
  <c r="J139" i="333" s="1"/>
  <c r="I136" i="333"/>
  <c r="J136" i="333"/>
  <c r="K135" i="333"/>
  <c r="H135" i="333"/>
  <c r="G135" i="333"/>
  <c r="I135" i="333" s="1"/>
  <c r="J135" i="333" s="1"/>
  <c r="F135" i="333"/>
  <c r="E135" i="333"/>
  <c r="D135" i="333"/>
  <c r="A175" i="326"/>
  <c r="A174" i="242"/>
  <c r="K162" i="242"/>
  <c r="H162" i="242"/>
  <c r="J162" i="242" s="1"/>
  <c r="G162" i="242"/>
  <c r="F162" i="242"/>
  <c r="E162" i="242"/>
  <c r="D162" i="242"/>
  <c r="A44" i="183"/>
  <c r="K43" i="183"/>
  <c r="H43" i="183"/>
  <c r="G43" i="183"/>
  <c r="I43" i="183"/>
  <c r="J43" i="183" s="1"/>
  <c r="F43" i="183"/>
  <c r="E43" i="183"/>
  <c r="D43" i="183"/>
  <c r="C43" i="183"/>
  <c r="J42" i="183"/>
  <c r="I41" i="183"/>
  <c r="J41" i="183" s="1"/>
  <c r="A41" i="183"/>
  <c r="I40" i="183"/>
  <c r="J40" i="183"/>
  <c r="A40" i="183"/>
  <c r="I39" i="183"/>
  <c r="J39" i="183"/>
  <c r="A39" i="183"/>
  <c r="I38" i="183"/>
  <c r="J38" i="183" s="1"/>
  <c r="A38" i="183"/>
  <c r="I37" i="183"/>
  <c r="J37" i="183" s="1"/>
  <c r="A37" i="183"/>
  <c r="I36" i="183"/>
  <c r="J36" i="183"/>
  <c r="A36" i="183"/>
  <c r="I35" i="183"/>
  <c r="J35" i="183" s="1"/>
  <c r="A35" i="183"/>
  <c r="I34" i="183"/>
  <c r="J34" i="183" s="1"/>
  <c r="A34" i="183"/>
  <c r="I33" i="183"/>
  <c r="J33" i="183"/>
  <c r="A33" i="183"/>
  <c r="A31" i="183"/>
  <c r="J30" i="183"/>
  <c r="K29" i="183"/>
  <c r="H29" i="183"/>
  <c r="J29" i="183"/>
  <c r="G29" i="183"/>
  <c r="I29" i="183" s="1"/>
  <c r="F29" i="183"/>
  <c r="E29" i="183"/>
  <c r="D29" i="183"/>
  <c r="C29" i="183"/>
  <c r="I28" i="183"/>
  <c r="J28" i="183"/>
  <c r="A28" i="183"/>
  <c r="I27" i="183"/>
  <c r="J27" i="183"/>
  <c r="A27" i="183"/>
  <c r="I26" i="183"/>
  <c r="J26" i="183"/>
  <c r="A26" i="183"/>
  <c r="I25" i="183"/>
  <c r="J25" i="183" s="1"/>
  <c r="A25" i="183"/>
  <c r="I24" i="183"/>
  <c r="J24" i="183" s="1"/>
  <c r="A24" i="183"/>
  <c r="I23" i="183"/>
  <c r="J23" i="183"/>
  <c r="A23" i="183"/>
  <c r="I22" i="183"/>
  <c r="J22" i="183" s="1"/>
  <c r="A22" i="183"/>
  <c r="I21" i="183"/>
  <c r="J21" i="183" s="1"/>
  <c r="A21" i="183"/>
  <c r="I20" i="183"/>
  <c r="J20" i="183"/>
  <c r="A20" i="183"/>
  <c r="I19" i="183"/>
  <c r="J19" i="183"/>
  <c r="A19" i="183"/>
  <c r="K16" i="183"/>
  <c r="K31" i="183"/>
  <c r="H16" i="183"/>
  <c r="H31" i="183"/>
  <c r="G16" i="183"/>
  <c r="G31" i="183" s="1"/>
  <c r="F16" i="183"/>
  <c r="F31" i="183"/>
  <c r="E16" i="183"/>
  <c r="E31" i="183" s="1"/>
  <c r="D16" i="183"/>
  <c r="C16" i="183"/>
  <c r="I15" i="183"/>
  <c r="J15" i="183"/>
  <c r="I14" i="183"/>
  <c r="J14" i="183" s="1"/>
  <c r="I13" i="183"/>
  <c r="J13" i="183" s="1"/>
  <c r="I12" i="183"/>
  <c r="J12" i="183"/>
  <c r="I11" i="183"/>
  <c r="J11" i="183"/>
  <c r="I10" i="183"/>
  <c r="J10" i="183" s="1"/>
  <c r="I9" i="183"/>
  <c r="J9" i="183" s="1"/>
  <c r="I8" i="183"/>
  <c r="J8" i="183"/>
  <c r="I7" i="183"/>
  <c r="J7" i="183" s="1"/>
  <c r="I6" i="183"/>
  <c r="J6" i="183" s="1"/>
  <c r="A54" i="181"/>
  <c r="A53" i="181"/>
  <c r="A52" i="181"/>
  <c r="A51" i="181"/>
  <c r="A50" i="181"/>
  <c r="A49" i="181"/>
  <c r="A5" i="181"/>
  <c r="A55" i="181"/>
  <c r="I53" i="181"/>
  <c r="J53" i="181" s="1"/>
  <c r="I51" i="181"/>
  <c r="J51" i="181"/>
  <c r="I50" i="181"/>
  <c r="J50" i="181" s="1"/>
  <c r="I45" i="181"/>
  <c r="J45" i="181" s="1"/>
  <c r="I44" i="181"/>
  <c r="J44" i="181" s="1"/>
  <c r="I43" i="181"/>
  <c r="J43" i="181"/>
  <c r="I42" i="181"/>
  <c r="J42" i="181" s="1"/>
  <c r="I41" i="181"/>
  <c r="J41" i="181" s="1"/>
  <c r="I40" i="181"/>
  <c r="J40" i="181" s="1"/>
  <c r="I39" i="181"/>
  <c r="J39" i="181"/>
  <c r="I38" i="181"/>
  <c r="J38" i="181"/>
  <c r="I37" i="181"/>
  <c r="J37" i="181" s="1"/>
  <c r="I36" i="181"/>
  <c r="J36" i="181" s="1"/>
  <c r="I35" i="181"/>
  <c r="J35" i="181"/>
  <c r="I21" i="181"/>
  <c r="J21" i="181" s="1"/>
  <c r="I20" i="181"/>
  <c r="J20" i="181" s="1"/>
  <c r="I19" i="181"/>
  <c r="J19" i="181" s="1"/>
  <c r="I18" i="181"/>
  <c r="J18" i="181"/>
  <c r="I17" i="181"/>
  <c r="J17" i="181" s="1"/>
  <c r="I16" i="181"/>
  <c r="J16" i="181" s="1"/>
  <c r="I14" i="181"/>
  <c r="J14" i="181" s="1"/>
  <c r="I13" i="181"/>
  <c r="J13" i="181"/>
  <c r="I12" i="181"/>
  <c r="J12" i="181"/>
  <c r="I10" i="181"/>
  <c r="J10" i="181" s="1"/>
  <c r="I9" i="181"/>
  <c r="J9" i="181" s="1"/>
  <c r="I8" i="181"/>
  <c r="J8" i="181"/>
  <c r="I7" i="181"/>
  <c r="J7" i="181"/>
  <c r="A53" i="317"/>
  <c r="B44" i="317"/>
  <c r="B49" i="317"/>
  <c r="B50" i="317" s="1"/>
  <c r="N33" i="317"/>
  <c r="N22" i="317"/>
  <c r="A122" i="318"/>
  <c r="A43" i="334"/>
  <c r="A32" i="334"/>
  <c r="A27" i="334"/>
  <c r="A25" i="334"/>
  <c r="A24" i="334"/>
  <c r="A22" i="334"/>
  <c r="A21" i="334"/>
  <c r="A20" i="334"/>
  <c r="A19" i="334"/>
  <c r="A18" i="334"/>
  <c r="A17" i="334"/>
  <c r="A16" i="334"/>
  <c r="A15" i="334"/>
  <c r="A14" i="334"/>
  <c r="A13" i="334"/>
  <c r="A12" i="334"/>
  <c r="A11" i="334"/>
  <c r="A10" i="334"/>
  <c r="A9" i="334"/>
  <c r="A8" i="334"/>
  <c r="A50" i="334"/>
  <c r="F46" i="334"/>
  <c r="G46" i="334"/>
  <c r="F45" i="334"/>
  <c r="G45" i="334"/>
  <c r="E44" i="334"/>
  <c r="D44" i="334"/>
  <c r="C44" i="334"/>
  <c r="F43" i="334"/>
  <c r="G43" i="334"/>
  <c r="F42" i="334"/>
  <c r="G42" i="334"/>
  <c r="E41" i="334"/>
  <c r="D41" i="334"/>
  <c r="C41" i="334"/>
  <c r="F40" i="334"/>
  <c r="G40" i="334" s="1"/>
  <c r="F39" i="334"/>
  <c r="G39" i="334"/>
  <c r="E38" i="334"/>
  <c r="D38" i="334"/>
  <c r="C38" i="334"/>
  <c r="F37" i="334"/>
  <c r="G37" i="334"/>
  <c r="F35" i="334"/>
  <c r="G35" i="334"/>
  <c r="F34" i="334"/>
  <c r="G34" i="334"/>
  <c r="F33" i="334"/>
  <c r="G33" i="334"/>
  <c r="F32" i="334"/>
  <c r="C31" i="334"/>
  <c r="G30" i="334"/>
  <c r="G29" i="334"/>
  <c r="F27" i="334"/>
  <c r="G27" i="334"/>
  <c r="F26" i="334"/>
  <c r="G26" i="334"/>
  <c r="E25" i="334"/>
  <c r="D25" i="334"/>
  <c r="C25" i="334"/>
  <c r="F25" i="334" s="1"/>
  <c r="G25" i="334" s="1"/>
  <c r="F24" i="334"/>
  <c r="G24" i="334" s="1"/>
  <c r="F23" i="334"/>
  <c r="G23" i="334" s="1"/>
  <c r="E22" i="334"/>
  <c r="E8" i="334"/>
  <c r="D22" i="334"/>
  <c r="C22" i="334"/>
  <c r="F22" i="334"/>
  <c r="G22" i="334"/>
  <c r="F21" i="334"/>
  <c r="G21" i="334" s="1"/>
  <c r="F20" i="334"/>
  <c r="G20" i="334" s="1"/>
  <c r="F19" i="334"/>
  <c r="G19" i="334"/>
  <c r="F18" i="334"/>
  <c r="G18" i="334"/>
  <c r="F17" i="334"/>
  <c r="G17" i="334" s="1"/>
  <c r="E16" i="334"/>
  <c r="E28" i="334" s="1"/>
  <c r="D16" i="334"/>
  <c r="C16" i="334"/>
  <c r="F15" i="334"/>
  <c r="G15" i="334"/>
  <c r="F13" i="334"/>
  <c r="G13" i="334" s="1"/>
  <c r="F12" i="334"/>
  <c r="G12" i="334" s="1"/>
  <c r="F11" i="334"/>
  <c r="G11" i="334"/>
  <c r="F10" i="334"/>
  <c r="G10" i="334"/>
  <c r="C8" i="334"/>
  <c r="A35" i="269"/>
  <c r="A33" i="269"/>
  <c r="A32" i="269"/>
  <c r="A31" i="269"/>
  <c r="A26" i="269"/>
  <c r="A25" i="269"/>
  <c r="A22" i="269"/>
  <c r="A16" i="269"/>
  <c r="A15" i="269"/>
  <c r="A13" i="269"/>
  <c r="A12" i="269"/>
  <c r="A11" i="269"/>
  <c r="A10" i="269"/>
  <c r="A9" i="269"/>
  <c r="A8" i="269"/>
  <c r="A58" i="269"/>
  <c r="I51" i="269"/>
  <c r="J51" i="269"/>
  <c r="H50" i="269"/>
  <c r="G50" i="269"/>
  <c r="I50" i="269"/>
  <c r="F50" i="269"/>
  <c r="E50" i="269"/>
  <c r="D50" i="269"/>
  <c r="I48" i="269"/>
  <c r="J48" i="269"/>
  <c r="I46" i="269"/>
  <c r="J46" i="269" s="1"/>
  <c r="C39" i="269"/>
  <c r="I32" i="269"/>
  <c r="J32" i="269" s="1"/>
  <c r="H31" i="269"/>
  <c r="I31" i="269" s="1"/>
  <c r="J31" i="269" s="1"/>
  <c r="G31" i="269"/>
  <c r="F31" i="269"/>
  <c r="E31" i="269"/>
  <c r="D31" i="269"/>
  <c r="C31" i="269"/>
  <c r="C8" i="269"/>
  <c r="A62" i="270"/>
  <c r="A56" i="270"/>
  <c r="I55" i="270"/>
  <c r="J55" i="270"/>
  <c r="I54" i="270"/>
  <c r="J54" i="270"/>
  <c r="K53" i="270"/>
  <c r="H53" i="270"/>
  <c r="I53" i="270" s="1"/>
  <c r="J53" i="270" s="1"/>
  <c r="G53" i="270"/>
  <c r="F53" i="270"/>
  <c r="E53" i="270"/>
  <c r="D53" i="270"/>
  <c r="C53" i="270"/>
  <c r="C59" i="270" s="1"/>
  <c r="A53" i="270"/>
  <c r="A41" i="334" s="1"/>
  <c r="A47" i="270"/>
  <c r="A38" i="334"/>
  <c r="C40" i="270"/>
  <c r="A40" i="270"/>
  <c r="I32" i="270"/>
  <c r="J32" i="270" s="1"/>
  <c r="K31" i="270"/>
  <c r="H31" i="270"/>
  <c r="G31" i="270"/>
  <c r="F31" i="270"/>
  <c r="E31" i="270"/>
  <c r="D31" i="270"/>
  <c r="C31" i="270"/>
  <c r="C8" i="270"/>
  <c r="A31" i="238"/>
  <c r="N28" i="238"/>
  <c r="M28" i="238"/>
  <c r="K28" i="238"/>
  <c r="O27" i="238"/>
  <c r="O28" i="238"/>
  <c r="L15" i="175"/>
  <c r="K15" i="175"/>
  <c r="D57" i="174"/>
  <c r="A57" i="174"/>
  <c r="A56" i="174"/>
  <c r="A55" i="174"/>
  <c r="A53" i="174"/>
  <c r="A52" i="174"/>
  <c r="A46" i="174"/>
  <c r="A40" i="174"/>
  <c r="A38" i="174"/>
  <c r="A41" i="174"/>
  <c r="B15" i="251"/>
  <c r="B10" i="251"/>
  <c r="B5" i="251"/>
  <c r="A41" i="251"/>
  <c r="A52" i="178"/>
  <c r="A218" i="324"/>
  <c r="A217" i="324"/>
  <c r="A215" i="324"/>
  <c r="A210" i="324"/>
  <c r="A209" i="324"/>
  <c r="A208" i="324"/>
  <c r="A207" i="324"/>
  <c r="A206" i="324"/>
  <c r="A205" i="324"/>
  <c r="A204" i="324"/>
  <c r="A203" i="324"/>
  <c r="A202" i="324"/>
  <c r="A201" i="324"/>
  <c r="A199" i="324"/>
  <c r="A198" i="324"/>
  <c r="A193" i="324"/>
  <c r="A192" i="324"/>
  <c r="A191" i="324"/>
  <c r="A190" i="324"/>
  <c r="A189" i="324"/>
  <c r="A188" i="324"/>
  <c r="A187" i="324"/>
  <c r="A186" i="324"/>
  <c r="A185" i="324"/>
  <c r="A184" i="324"/>
  <c r="A182" i="324"/>
  <c r="A181" i="324"/>
  <c r="A179" i="324"/>
  <c r="A178" i="324"/>
  <c r="A177" i="324"/>
  <c r="A176" i="324"/>
  <c r="A175" i="324"/>
  <c r="A174" i="324"/>
  <c r="A173" i="324"/>
  <c r="A171" i="324"/>
  <c r="A170" i="324"/>
  <c r="A169" i="324"/>
  <c r="A168" i="324"/>
  <c r="A167" i="324"/>
  <c r="A165" i="324"/>
  <c r="A164" i="324"/>
  <c r="A163" i="324"/>
  <c r="A162" i="324"/>
  <c r="A160" i="324"/>
  <c r="A158" i="324"/>
  <c r="A157" i="324"/>
  <c r="A156" i="324"/>
  <c r="A151" i="324"/>
  <c r="A150" i="324"/>
  <c r="A149" i="324"/>
  <c r="A148" i="324"/>
  <c r="A147" i="324"/>
  <c r="A146" i="324"/>
  <c r="A145" i="324"/>
  <c r="A144" i="324"/>
  <c r="A143" i="324"/>
  <c r="A142" i="324"/>
  <c r="A140" i="324"/>
  <c r="A139" i="324"/>
  <c r="A138" i="324"/>
  <c r="A137" i="324"/>
  <c r="A135" i="324"/>
  <c r="A134" i="324"/>
  <c r="A133" i="324"/>
  <c r="A132" i="324"/>
  <c r="A131" i="324"/>
  <c r="A130" i="324"/>
  <c r="A129" i="324"/>
  <c r="A125" i="324"/>
  <c r="A124" i="324"/>
  <c r="A123" i="324"/>
  <c r="A122" i="324"/>
  <c r="A121" i="324"/>
  <c r="A120" i="324"/>
  <c r="A119" i="324"/>
  <c r="A118" i="324"/>
  <c r="A117" i="324"/>
  <c r="A116" i="324"/>
  <c r="A110" i="324"/>
  <c r="A109" i="324"/>
  <c r="A107" i="324"/>
  <c r="A102" i="324"/>
  <c r="A101" i="324"/>
  <c r="A100" i="324"/>
  <c r="A99" i="324"/>
  <c r="A98" i="324"/>
  <c r="A97" i="324"/>
  <c r="A96" i="324"/>
  <c r="A95" i="324"/>
  <c r="A94" i="324"/>
  <c r="A93" i="324"/>
  <c r="A91" i="324"/>
  <c r="A90" i="324"/>
  <c r="A85" i="324"/>
  <c r="A84" i="324"/>
  <c r="A83" i="324"/>
  <c r="A82" i="324"/>
  <c r="A81" i="324"/>
  <c r="A80" i="324"/>
  <c r="A79" i="324"/>
  <c r="A78" i="324"/>
  <c r="A77" i="324"/>
  <c r="A76" i="324"/>
  <c r="A74" i="324"/>
  <c r="A73" i="324"/>
  <c r="A71" i="324"/>
  <c r="A70" i="324"/>
  <c r="A69" i="324"/>
  <c r="A68" i="324"/>
  <c r="A67" i="324"/>
  <c r="A66" i="324"/>
  <c r="A65" i="324"/>
  <c r="A63" i="324"/>
  <c r="A62" i="324"/>
  <c r="A61" i="324"/>
  <c r="A60" i="324"/>
  <c r="A59" i="324"/>
  <c r="A57" i="324"/>
  <c r="A56" i="324"/>
  <c r="A55" i="324"/>
  <c r="A54" i="324"/>
  <c r="A52" i="324"/>
  <c r="A50" i="324"/>
  <c r="A49" i="324"/>
  <c r="A48" i="324"/>
  <c r="A43" i="324"/>
  <c r="A42" i="324"/>
  <c r="A41" i="324"/>
  <c r="A40" i="324"/>
  <c r="A39" i="324"/>
  <c r="A38" i="324"/>
  <c r="A37" i="324"/>
  <c r="A36" i="324"/>
  <c r="A35" i="324"/>
  <c r="A34" i="324"/>
  <c r="A32" i="324"/>
  <c r="A31" i="324"/>
  <c r="A30" i="324"/>
  <c r="A29" i="324"/>
  <c r="A27" i="324"/>
  <c r="A26" i="324"/>
  <c r="A25" i="324"/>
  <c r="A24" i="324"/>
  <c r="A23" i="324"/>
  <c r="A22" i="324"/>
  <c r="A21" i="324"/>
  <c r="A17" i="324"/>
  <c r="A16" i="324"/>
  <c r="A15" i="324"/>
  <c r="A14" i="324"/>
  <c r="A13" i="324"/>
  <c r="A12" i="324"/>
  <c r="A11" i="324"/>
  <c r="A10" i="324"/>
  <c r="A9" i="324"/>
  <c r="A8" i="324"/>
  <c r="A222" i="324"/>
  <c r="U220" i="324"/>
  <c r="S220" i="324"/>
  <c r="Q220" i="324"/>
  <c r="P220" i="324"/>
  <c r="O220" i="324"/>
  <c r="N220" i="324"/>
  <c r="M220" i="324"/>
  <c r="L220" i="324"/>
  <c r="C216" i="324"/>
  <c r="C38" i="268"/>
  <c r="I114" i="324"/>
  <c r="C51" i="324"/>
  <c r="C11" i="268"/>
  <c r="A75" i="268"/>
  <c r="A65" i="182"/>
  <c r="A61" i="182"/>
  <c r="A218" i="323"/>
  <c r="A217" i="323"/>
  <c r="A215" i="323"/>
  <c r="A210" i="323"/>
  <c r="A209" i="323"/>
  <c r="A208" i="323"/>
  <c r="A207" i="323"/>
  <c r="A206" i="323"/>
  <c r="A205" i="323"/>
  <c r="A204" i="323"/>
  <c r="A203" i="323"/>
  <c r="A202" i="323"/>
  <c r="A201" i="323"/>
  <c r="A199" i="323"/>
  <c r="A198" i="323"/>
  <c r="A193" i="323"/>
  <c r="A192" i="323"/>
  <c r="A191" i="323"/>
  <c r="A190" i="323"/>
  <c r="A189" i="323"/>
  <c r="A188" i="323"/>
  <c r="A187" i="323"/>
  <c r="A186" i="323"/>
  <c r="A185" i="323"/>
  <c r="A184" i="323"/>
  <c r="A182" i="323"/>
  <c r="A181" i="323"/>
  <c r="A179" i="323"/>
  <c r="A178" i="323"/>
  <c r="A177" i="323"/>
  <c r="A176" i="323"/>
  <c r="A175" i="323"/>
  <c r="A174" i="323"/>
  <c r="A173" i="323"/>
  <c r="A171" i="323"/>
  <c r="A170" i="323"/>
  <c r="A169" i="323"/>
  <c r="A168" i="323"/>
  <c r="A167" i="323"/>
  <c r="A165" i="323"/>
  <c r="A164" i="323"/>
  <c r="A163" i="323"/>
  <c r="A162" i="323"/>
  <c r="A160" i="323"/>
  <c r="A158" i="323"/>
  <c r="A157" i="323"/>
  <c r="A156" i="323"/>
  <c r="A151" i="323"/>
  <c r="A150" i="323"/>
  <c r="A149" i="323"/>
  <c r="A148" i="323"/>
  <c r="A147" i="323"/>
  <c r="A146" i="323"/>
  <c r="A145" i="323"/>
  <c r="A144" i="323"/>
  <c r="A143" i="323"/>
  <c r="A142" i="323"/>
  <c r="A140" i="323"/>
  <c r="A139" i="323"/>
  <c r="A138" i="323"/>
  <c r="A137" i="323"/>
  <c r="A135" i="323"/>
  <c r="A134" i="323"/>
  <c r="A133" i="323"/>
  <c r="A132" i="323"/>
  <c r="A131" i="323"/>
  <c r="A130" i="323"/>
  <c r="A129" i="323"/>
  <c r="A124" i="323"/>
  <c r="A123" i="323"/>
  <c r="A122" i="323"/>
  <c r="A121" i="323"/>
  <c r="A120" i="323"/>
  <c r="A119" i="323"/>
  <c r="A118" i="323"/>
  <c r="A117" i="323"/>
  <c r="A116" i="323"/>
  <c r="A115" i="323"/>
  <c r="A110" i="323"/>
  <c r="A109" i="323"/>
  <c r="A107" i="323"/>
  <c r="A102" i="323"/>
  <c r="A101" i="323"/>
  <c r="A100" i="323"/>
  <c r="A99" i="323"/>
  <c r="A98" i="323"/>
  <c r="A97" i="323"/>
  <c r="A96" i="323"/>
  <c r="A95" i="323"/>
  <c r="A94" i="323"/>
  <c r="A93" i="323"/>
  <c r="A91" i="323"/>
  <c r="A90" i="323"/>
  <c r="A85" i="323"/>
  <c r="A84" i="323"/>
  <c r="A83" i="323"/>
  <c r="A82" i="323"/>
  <c r="A81" i="323"/>
  <c r="A80" i="323"/>
  <c r="A79" i="323"/>
  <c r="A78" i="323"/>
  <c r="A77" i="323"/>
  <c r="A76" i="323"/>
  <c r="A74" i="323"/>
  <c r="A73" i="323"/>
  <c r="A71" i="323"/>
  <c r="A70" i="323"/>
  <c r="A69" i="323"/>
  <c r="A68" i="323"/>
  <c r="A67" i="323"/>
  <c r="A66" i="323"/>
  <c r="A65" i="323"/>
  <c r="A63" i="323"/>
  <c r="A62" i="323"/>
  <c r="A61" i="323"/>
  <c r="A60" i="323"/>
  <c r="A59" i="323"/>
  <c r="A57" i="323"/>
  <c r="A56" i="323"/>
  <c r="A55" i="323"/>
  <c r="A54" i="323"/>
  <c r="A52" i="323"/>
  <c r="A50" i="323"/>
  <c r="A49" i="323"/>
  <c r="A48" i="323"/>
  <c r="A43" i="323"/>
  <c r="A42" i="323"/>
  <c r="A41" i="323"/>
  <c r="A40" i="323"/>
  <c r="A39" i="323"/>
  <c r="A38" i="323"/>
  <c r="A37" i="323"/>
  <c r="A36" i="323"/>
  <c r="A35" i="323"/>
  <c r="A34" i="323"/>
  <c r="A32" i="323"/>
  <c r="A31" i="323"/>
  <c r="A30" i="323"/>
  <c r="A29" i="323"/>
  <c r="A27" i="323"/>
  <c r="A26" i="323"/>
  <c r="A25" i="323"/>
  <c r="A24" i="323"/>
  <c r="A23" i="323"/>
  <c r="A22" i="323"/>
  <c r="A21" i="323"/>
  <c r="A16" i="323"/>
  <c r="A15" i="323"/>
  <c r="A14" i="323"/>
  <c r="A13" i="323"/>
  <c r="A12" i="323"/>
  <c r="A11" i="323"/>
  <c r="A10" i="323"/>
  <c r="A9" i="323"/>
  <c r="A8" i="323"/>
  <c r="A7" i="323"/>
  <c r="A222" i="323"/>
  <c r="A221" i="323"/>
  <c r="A41" i="272"/>
  <c r="A40" i="272"/>
  <c r="A249" i="330"/>
  <c r="A248" i="330"/>
  <c r="A247" i="330"/>
  <c r="A246" i="330"/>
  <c r="A245" i="330"/>
  <c r="A244" i="330"/>
  <c r="A243" i="330"/>
  <c r="A242" i="330"/>
  <c r="A241" i="330"/>
  <c r="A240" i="330"/>
  <c r="A239" i="330"/>
  <c r="A238" i="330"/>
  <c r="A237" i="330"/>
  <c r="A236" i="330"/>
  <c r="A235" i="330"/>
  <c r="A234" i="330"/>
  <c r="A233" i="330"/>
  <c r="A232" i="330"/>
  <c r="A231" i="330"/>
  <c r="A230" i="330"/>
  <c r="A229" i="330"/>
  <c r="A228" i="330"/>
  <c r="A227" i="330"/>
  <c r="A226" i="330"/>
  <c r="A225" i="330"/>
  <c r="A224" i="330"/>
  <c r="A223" i="330"/>
  <c r="A222" i="330"/>
  <c r="A221" i="330"/>
  <c r="A220" i="330"/>
  <c r="A219" i="330"/>
  <c r="A218" i="330"/>
  <c r="A217" i="330"/>
  <c r="A216" i="330"/>
  <c r="A215" i="330"/>
  <c r="A214" i="330"/>
  <c r="A213" i="330"/>
  <c r="A212" i="330"/>
  <c r="A211" i="330"/>
  <c r="A210" i="330"/>
  <c r="A209" i="330"/>
  <c r="A208" i="330"/>
  <c r="A207" i="330"/>
  <c r="A206" i="330"/>
  <c r="A205" i="330"/>
  <c r="A204" i="330"/>
  <c r="A203" i="330"/>
  <c r="A202" i="330"/>
  <c r="A201" i="330"/>
  <c r="A200" i="330"/>
  <c r="A199" i="330"/>
  <c r="A198" i="330"/>
  <c r="A197" i="330"/>
  <c r="A196" i="330"/>
  <c r="A195" i="330"/>
  <c r="A194" i="330"/>
  <c r="A193" i="330"/>
  <c r="A192" i="330"/>
  <c r="A191" i="330"/>
  <c r="A190" i="330"/>
  <c r="A189" i="330"/>
  <c r="A188" i="330"/>
  <c r="A187" i="330"/>
  <c r="A186" i="330"/>
  <c r="A185" i="330"/>
  <c r="A184" i="330"/>
  <c r="A183" i="330"/>
  <c r="A182" i="330"/>
  <c r="A181" i="330"/>
  <c r="A180" i="330"/>
  <c r="A179" i="330"/>
  <c r="A178" i="330"/>
  <c r="A177" i="330"/>
  <c r="A176" i="330"/>
  <c r="A175" i="330"/>
  <c r="A174" i="330"/>
  <c r="A173" i="330"/>
  <c r="A172" i="330"/>
  <c r="A171"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A149" i="330"/>
  <c r="A148" i="330"/>
  <c r="A147" i="330"/>
  <c r="A146" i="330"/>
  <c r="A145" i="330"/>
  <c r="A144" i="330"/>
  <c r="A143" i="330"/>
  <c r="A142" i="330"/>
  <c r="A141" i="330"/>
  <c r="A140" i="330"/>
  <c r="A139" i="330"/>
  <c r="A138" i="330"/>
  <c r="A137" i="330"/>
  <c r="A136" i="330"/>
  <c r="A135" i="330"/>
  <c r="A134" i="330"/>
  <c r="A133" i="330"/>
  <c r="A132" i="330"/>
  <c r="A131" i="330"/>
  <c r="A130" i="330"/>
  <c r="A129" i="330"/>
  <c r="A128" i="330"/>
  <c r="A125" i="330"/>
  <c r="A51" i="241"/>
  <c r="A51" i="267"/>
  <c r="A50" i="267"/>
  <c r="A49" i="267"/>
  <c r="I48" i="267"/>
  <c r="H48" i="267"/>
  <c r="G48" i="267"/>
  <c r="F48" i="267"/>
  <c r="E48" i="267"/>
  <c r="D48" i="267"/>
  <c r="C48" i="267"/>
  <c r="B48" i="267"/>
  <c r="B22" i="267"/>
  <c r="B21" i="267"/>
  <c r="B13" i="267"/>
  <c r="B7" i="322"/>
  <c r="B6" i="322"/>
  <c r="B5" i="322"/>
  <c r="B4" i="322"/>
  <c r="B3" i="322"/>
  <c r="B2" i="322"/>
  <c r="C7" i="322"/>
  <c r="C6" i="322"/>
  <c r="C5" i="322"/>
  <c r="C4" i="322"/>
  <c r="C3" i="322"/>
  <c r="C2" i="322"/>
  <c r="D7" i="322"/>
  <c r="D6" i="322"/>
  <c r="D5" i="322"/>
  <c r="D4" i="322"/>
  <c r="D3" i="322"/>
  <c r="D2" i="322"/>
  <c r="E100" i="100"/>
  <c r="F100" i="100"/>
  <c r="K3" i="335"/>
  <c r="J3" i="335"/>
  <c r="I3" i="335"/>
  <c r="H3" i="335"/>
  <c r="G3" i="335"/>
  <c r="F3" i="335"/>
  <c r="E3" i="335"/>
  <c r="D3" i="335"/>
  <c r="C3" i="335"/>
  <c r="B2" i="335"/>
  <c r="A2" i="335"/>
  <c r="E81" i="100"/>
  <c r="E79" i="100"/>
  <c r="F81" i="100"/>
  <c r="F79" i="100"/>
  <c r="X11" i="329"/>
  <c r="B107" i="100"/>
  <c r="B90" i="100"/>
  <c r="G3" i="334"/>
  <c r="F3" i="334"/>
  <c r="E3" i="334"/>
  <c r="D3" i="334"/>
  <c r="B2" i="334"/>
  <c r="A2" i="334"/>
  <c r="B91" i="100"/>
  <c r="C307" i="322"/>
  <c r="F99" i="100"/>
  <c r="E99" i="100"/>
  <c r="K3" i="333"/>
  <c r="J3" i="333"/>
  <c r="I3" i="333"/>
  <c r="H3" i="333"/>
  <c r="G3" i="333"/>
  <c r="F3" i="333"/>
  <c r="E3" i="333"/>
  <c r="D3" i="333"/>
  <c r="C3" i="333"/>
  <c r="B2" i="333"/>
  <c r="A2" i="333"/>
  <c r="A2" i="332"/>
  <c r="A3" i="332"/>
  <c r="A25" i="268"/>
  <c r="D3" i="332"/>
  <c r="A4" i="332"/>
  <c r="A26" i="272" s="1"/>
  <c r="D4" i="332"/>
  <c r="A5" i="332"/>
  <c r="A141" i="324"/>
  <c r="D5" i="332"/>
  <c r="A6" i="332"/>
  <c r="D6" i="332"/>
  <c r="A7" i="332"/>
  <c r="A11" i="268" s="1"/>
  <c r="D7" i="332"/>
  <c r="A8" i="332"/>
  <c r="A161" i="324" s="1"/>
  <c r="D8" i="332"/>
  <c r="A9" i="332"/>
  <c r="A13" i="272" s="1"/>
  <c r="D9" i="332"/>
  <c r="A10" i="332"/>
  <c r="D10" i="332"/>
  <c r="A11" i="332"/>
  <c r="A72" i="324" s="1"/>
  <c r="D11" i="332"/>
  <c r="A12" i="332"/>
  <c r="A75" i="324"/>
  <c r="D12" i="332"/>
  <c r="A16" i="332"/>
  <c r="A17" i="268" s="1"/>
  <c r="A17" i="332"/>
  <c r="D17" i="332"/>
  <c r="A18" i="332"/>
  <c r="D18" i="332"/>
  <c r="A19" i="332"/>
  <c r="D19" i="332"/>
  <c r="D20" i="332"/>
  <c r="D21" i="332"/>
  <c r="D22" i="332"/>
  <c r="D23" i="332"/>
  <c r="D24" i="332"/>
  <c r="D25" i="332"/>
  <c r="D26" i="332"/>
  <c r="D28" i="332"/>
  <c r="D29" i="332"/>
  <c r="D30" i="332"/>
  <c r="D31" i="332"/>
  <c r="D32" i="332"/>
  <c r="D33" i="332"/>
  <c r="D34" i="332"/>
  <c r="D35" i="332"/>
  <c r="D36" i="332"/>
  <c r="D37" i="332"/>
  <c r="D39" i="332"/>
  <c r="D40" i="332"/>
  <c r="D41" i="332"/>
  <c r="D42" i="332"/>
  <c r="D43" i="332"/>
  <c r="D44" i="332"/>
  <c r="D45" i="332"/>
  <c r="D46" i="332"/>
  <c r="D47" i="332"/>
  <c r="D48" i="332"/>
  <c r="D53" i="332"/>
  <c r="D54" i="332"/>
  <c r="D55" i="332"/>
  <c r="D56" i="332"/>
  <c r="D57" i="332"/>
  <c r="D58" i="332"/>
  <c r="D59" i="332"/>
  <c r="D60" i="332"/>
  <c r="D61" i="332"/>
  <c r="D62" i="332"/>
  <c r="D64" i="332"/>
  <c r="D65" i="332"/>
  <c r="D66" i="332"/>
  <c r="D67" i="332"/>
  <c r="D68" i="332"/>
  <c r="D69" i="332"/>
  <c r="D70" i="332"/>
  <c r="D71" i="332"/>
  <c r="D72" i="332"/>
  <c r="D73" i="332"/>
  <c r="D75" i="332"/>
  <c r="D76" i="332"/>
  <c r="D77" i="332"/>
  <c r="D78" i="332"/>
  <c r="D79" i="332"/>
  <c r="D80" i="332"/>
  <c r="D81" i="332"/>
  <c r="D82" i="332"/>
  <c r="D83" i="332"/>
  <c r="D84" i="332"/>
  <c r="D86" i="332"/>
  <c r="D87" i="332"/>
  <c r="D88" i="332"/>
  <c r="D89" i="332"/>
  <c r="D90" i="332"/>
  <c r="D91" i="332"/>
  <c r="D92" i="332"/>
  <c r="D93" i="332"/>
  <c r="D94" i="332"/>
  <c r="D95" i="332"/>
  <c r="D97" i="332"/>
  <c r="D98" i="332"/>
  <c r="D99" i="332"/>
  <c r="D100" i="332"/>
  <c r="D101" i="332"/>
  <c r="D102" i="332"/>
  <c r="D103" i="332"/>
  <c r="D104" i="332"/>
  <c r="D105" i="332"/>
  <c r="D106" i="332"/>
  <c r="D108" i="332"/>
  <c r="D109" i="332"/>
  <c r="D110" i="332"/>
  <c r="D111" i="332"/>
  <c r="D112" i="332"/>
  <c r="D113" i="332"/>
  <c r="D114" i="332"/>
  <c r="D115" i="332"/>
  <c r="D116" i="332"/>
  <c r="D117" i="332"/>
  <c r="D119" i="332"/>
  <c r="D120" i="332"/>
  <c r="D121" i="332"/>
  <c r="D122" i="332"/>
  <c r="D123" i="332"/>
  <c r="D124" i="332"/>
  <c r="D125" i="332"/>
  <c r="D126" i="332"/>
  <c r="D127" i="332"/>
  <c r="D128" i="332"/>
  <c r="D133" i="332"/>
  <c r="D134" i="332"/>
  <c r="D135" i="332"/>
  <c r="D136" i="332"/>
  <c r="D137" i="332"/>
  <c r="D138" i="332"/>
  <c r="D139" i="332"/>
  <c r="D140" i="332"/>
  <c r="D141" i="332"/>
  <c r="D142" i="332"/>
  <c r="D144" i="332"/>
  <c r="D145" i="332"/>
  <c r="D146" i="332"/>
  <c r="D147" i="332"/>
  <c r="D148" i="332"/>
  <c r="D149" i="332"/>
  <c r="D150" i="332"/>
  <c r="D151" i="332"/>
  <c r="D152" i="332"/>
  <c r="D153" i="332"/>
  <c r="D158" i="332"/>
  <c r="D159" i="332"/>
  <c r="D160" i="332"/>
  <c r="D161" i="332"/>
  <c r="D162" i="332"/>
  <c r="D163" i="332"/>
  <c r="D164" i="332"/>
  <c r="D165" i="332"/>
  <c r="D166" i="332"/>
  <c r="D167" i="332"/>
  <c r="D169" i="332"/>
  <c r="D170" i="332"/>
  <c r="D171" i="332"/>
  <c r="D172" i="332"/>
  <c r="D173" i="332"/>
  <c r="D174" i="332"/>
  <c r="D175" i="332"/>
  <c r="D176" i="332"/>
  <c r="D177" i="332"/>
  <c r="D178" i="332"/>
  <c r="A75" i="100"/>
  <c r="B78" i="100" s="1"/>
  <c r="F77" i="100"/>
  <c r="B27" i="322"/>
  <c r="B73" i="100" s="1"/>
  <c r="K3" i="330"/>
  <c r="J3" i="330"/>
  <c r="I3" i="330"/>
  <c r="H3" i="330"/>
  <c r="G3" i="330"/>
  <c r="F3" i="330"/>
  <c r="E3" i="330"/>
  <c r="D3" i="330"/>
  <c r="C3" i="330"/>
  <c r="E5" i="322"/>
  <c r="E2" i="322"/>
  <c r="B2" i="330"/>
  <c r="A2"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B5" i="100" s="1"/>
  <c r="O3" i="322"/>
  <c r="F4" i="322"/>
  <c r="G4" i="322"/>
  <c r="H4" i="322"/>
  <c r="I4" i="322"/>
  <c r="J4" i="322"/>
  <c r="K4" i="322"/>
  <c r="L4" i="322"/>
  <c r="M4" i="322"/>
  <c r="N4" i="322"/>
  <c r="O4" i="322"/>
  <c r="F5" i="322"/>
  <c r="G5" i="322"/>
  <c r="H5" i="322"/>
  <c r="I5" i="322"/>
  <c r="J5" i="322"/>
  <c r="K5" i="322"/>
  <c r="L5" i="322"/>
  <c r="M5" i="322"/>
  <c r="N5" i="322"/>
  <c r="B3" i="100" s="1"/>
  <c r="O5" i="322"/>
  <c r="F6" i="322"/>
  <c r="G6" i="322"/>
  <c r="H6" i="322"/>
  <c r="I6" i="322"/>
  <c r="J6" i="322"/>
  <c r="K6" i="322"/>
  <c r="L6" i="322"/>
  <c r="M6" i="322"/>
  <c r="N6" i="322"/>
  <c r="O6" i="322"/>
  <c r="F7" i="322"/>
  <c r="G7" i="322"/>
  <c r="H7" i="322"/>
  <c r="I7" i="322"/>
  <c r="J7" i="322"/>
  <c r="K7" i="322"/>
  <c r="L7" i="322"/>
  <c r="M7" i="322"/>
  <c r="N7" i="322"/>
  <c r="O7" i="322"/>
  <c r="E7" i="322"/>
  <c r="E6" i="322"/>
  <c r="E4" i="322"/>
  <c r="E3" i="322"/>
  <c r="E77" i="100"/>
  <c r="F3" i="267"/>
  <c r="J3" i="267"/>
  <c r="I3" i="267"/>
  <c r="H3" i="267"/>
  <c r="G3" i="267"/>
  <c r="E3" i="267"/>
  <c r="D3" i="267"/>
  <c r="C3" i="267"/>
  <c r="B3" i="267"/>
  <c r="A2" i="267"/>
  <c r="C3" i="241"/>
  <c r="A2" i="241"/>
  <c r="K3" i="241"/>
  <c r="J3" i="241"/>
  <c r="I3" i="241"/>
  <c r="H3" i="241"/>
  <c r="G3" i="241"/>
  <c r="F3" i="241"/>
  <c r="E3" i="241"/>
  <c r="D3" i="241"/>
  <c r="B2" i="241"/>
  <c r="K3" i="323"/>
  <c r="J3" i="323"/>
  <c r="I3" i="323"/>
  <c r="H3" i="323"/>
  <c r="G3" i="323"/>
  <c r="F3" i="323"/>
  <c r="E3" i="323"/>
  <c r="D3" i="323"/>
  <c r="C3" i="323"/>
  <c r="W3" i="323"/>
  <c r="V3" i="323"/>
  <c r="U3" i="323"/>
  <c r="T3" i="323"/>
  <c r="S3" i="323"/>
  <c r="R3" i="323"/>
  <c r="Q3" i="323"/>
  <c r="P3" i="323"/>
  <c r="O3" i="323"/>
  <c r="N3" i="323"/>
  <c r="M3" i="323"/>
  <c r="L3" i="323"/>
  <c r="L2" i="323"/>
  <c r="B2" i="323"/>
  <c r="A2" i="323"/>
  <c r="B106" i="100"/>
  <c r="E78" i="100"/>
  <c r="C3" i="272"/>
  <c r="A2" i="272"/>
  <c r="B2" i="272"/>
  <c r="F3" i="272"/>
  <c r="E3" i="272"/>
  <c r="D3" i="272"/>
  <c r="K3" i="272"/>
  <c r="J3" i="272"/>
  <c r="I3" i="272"/>
  <c r="H3" i="272"/>
  <c r="G3" i="272"/>
  <c r="E80" i="100"/>
  <c r="K3" i="182"/>
  <c r="J3" i="182"/>
  <c r="I3" i="182"/>
  <c r="H3" i="182"/>
  <c r="G3" i="182"/>
  <c r="F3" i="182"/>
  <c r="E3" i="182"/>
  <c r="D3" i="182"/>
  <c r="C3" i="182"/>
  <c r="B2" i="182"/>
  <c r="A2" i="182"/>
  <c r="W3" i="324"/>
  <c r="V3" i="324"/>
  <c r="U3" i="324"/>
  <c r="T3" i="324"/>
  <c r="S3" i="324"/>
  <c r="R3" i="324"/>
  <c r="Q3" i="324"/>
  <c r="P3" i="324"/>
  <c r="O3" i="324"/>
  <c r="N3" i="324"/>
  <c r="M3" i="324"/>
  <c r="L3" i="324"/>
  <c r="K3" i="324"/>
  <c r="J3" i="324"/>
  <c r="I3" i="324"/>
  <c r="H3" i="324"/>
  <c r="G3" i="324"/>
  <c r="F3" i="324"/>
  <c r="E3" i="324"/>
  <c r="D3" i="324"/>
  <c r="C3" i="324"/>
  <c r="L2" i="324"/>
  <c r="B2" i="324"/>
  <c r="A2" i="324"/>
  <c r="A2" i="268"/>
  <c r="K3" i="268"/>
  <c r="J3" i="268"/>
  <c r="I3" i="268"/>
  <c r="H3" i="268"/>
  <c r="G3" i="268"/>
  <c r="F3" i="268"/>
  <c r="E3" i="268"/>
  <c r="D3" i="268"/>
  <c r="C3" i="268"/>
  <c r="B2" i="268"/>
  <c r="E82" i="100"/>
  <c r="A2" i="178"/>
  <c r="G3" i="178"/>
  <c r="F3" i="178"/>
  <c r="E3" i="178"/>
  <c r="D3" i="178"/>
  <c r="C3" i="178"/>
  <c r="B2" i="178"/>
  <c r="E83" i="100"/>
  <c r="K3" i="177"/>
  <c r="J3" i="177"/>
  <c r="I3" i="177"/>
  <c r="H3" i="177"/>
  <c r="G3" i="177"/>
  <c r="F3" i="177"/>
  <c r="E3" i="177"/>
  <c r="D3" i="177"/>
  <c r="C3" i="177"/>
  <c r="B2" i="177"/>
  <c r="A2" i="177"/>
  <c r="A7" i="322"/>
  <c r="A6" i="322"/>
  <c r="A5" i="322"/>
  <c r="A4" i="322"/>
  <c r="A3" i="322"/>
  <c r="A2" i="32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s="1"/>
  <c r="A39" i="172"/>
  <c r="A38" i="172"/>
  <c r="A37" i="172"/>
  <c r="A36" i="172"/>
  <c r="A35" i="172"/>
  <c r="A34" i="172"/>
  <c r="A33" i="172"/>
  <c r="A32" i="172"/>
  <c r="A31" i="172"/>
  <c r="A30" i="172"/>
  <c r="A29" i="172"/>
  <c r="A28" i="172"/>
  <c r="G3" i="180"/>
  <c r="C27" i="172" s="1"/>
  <c r="F3" i="180"/>
  <c r="B27" i="172" s="1"/>
  <c r="A14" i="172"/>
  <c r="A13" i="172"/>
  <c r="A12" i="172"/>
  <c r="A11" i="172"/>
  <c r="A10" i="172"/>
  <c r="A9" i="172"/>
  <c r="A8" i="172"/>
  <c r="A7" i="172"/>
  <c r="A6" i="172"/>
  <c r="A5" i="172"/>
  <c r="A4" i="172"/>
  <c r="A3" i="172"/>
  <c r="E3" i="180"/>
  <c r="E2" i="172" s="1"/>
  <c r="D3" i="180"/>
  <c r="D2" i="172" s="1"/>
  <c r="C3" i="180"/>
  <c r="C2" i="172" s="1"/>
  <c r="B12" i="172"/>
  <c r="B4" i="172"/>
  <c r="I54" i="172"/>
  <c r="H54" i="172"/>
  <c r="G54" i="172"/>
  <c r="F54" i="172"/>
  <c r="E54" i="172"/>
  <c r="D54" i="172"/>
  <c r="C54" i="172"/>
  <c r="B54" i="172"/>
  <c r="B2" i="251"/>
  <c r="A2" i="251"/>
  <c r="E93" i="100"/>
  <c r="A2" i="181"/>
  <c r="K3" i="181"/>
  <c r="J3" i="181"/>
  <c r="I3" i="181"/>
  <c r="H3" i="181"/>
  <c r="G3" i="181"/>
  <c r="F3" i="181"/>
  <c r="E3" i="181"/>
  <c r="D3" i="181"/>
  <c r="C3" i="181"/>
  <c r="B2" i="181"/>
  <c r="E94" i="100"/>
  <c r="K3" i="183"/>
  <c r="J3" i="183"/>
  <c r="I3" i="183"/>
  <c r="H3" i="183"/>
  <c r="G3" i="183"/>
  <c r="F3" i="183"/>
  <c r="E3" i="183"/>
  <c r="D3" i="183"/>
  <c r="C3" i="183"/>
  <c r="B2" i="183"/>
  <c r="A2" i="183"/>
  <c r="E95" i="100"/>
  <c r="I3" i="180"/>
  <c r="H3" i="180"/>
  <c r="B3" i="180"/>
  <c r="A2" i="242"/>
  <c r="K3" i="242"/>
  <c r="J3" i="242"/>
  <c r="I3" i="242"/>
  <c r="H3" i="242"/>
  <c r="G3" i="242"/>
  <c r="F3" i="242"/>
  <c r="E3" i="242"/>
  <c r="D3" i="242"/>
  <c r="C3" i="242"/>
  <c r="B2" i="242"/>
  <c r="K3" i="326"/>
  <c r="J3" i="326"/>
  <c r="I3" i="326"/>
  <c r="H3" i="326"/>
  <c r="G3" i="326"/>
  <c r="F3" i="326"/>
  <c r="E3" i="326"/>
  <c r="D3" i="326"/>
  <c r="C3" i="326"/>
  <c r="B2" i="326"/>
  <c r="A2" i="326"/>
  <c r="K3" i="325"/>
  <c r="J3" i="325"/>
  <c r="I3" i="325"/>
  <c r="H3" i="325"/>
  <c r="G3" i="325"/>
  <c r="F3" i="325"/>
  <c r="E3" i="325"/>
  <c r="D3" i="325"/>
  <c r="C3" i="325"/>
  <c r="B2" i="325"/>
  <c r="A2" i="325"/>
  <c r="C2" i="174"/>
  <c r="G3" i="174"/>
  <c r="H3" i="174"/>
  <c r="F3" i="174"/>
  <c r="E3" i="174"/>
  <c r="D3" i="174"/>
  <c r="A2" i="175"/>
  <c r="A2" i="173"/>
  <c r="K3" i="270"/>
  <c r="J3" i="270"/>
  <c r="I3" i="270"/>
  <c r="H3" i="270"/>
  <c r="G3" i="270"/>
  <c r="F3" i="270"/>
  <c r="E3" i="270"/>
  <c r="D3" i="270"/>
  <c r="C3" i="270"/>
  <c r="B2" i="270"/>
  <c r="A2" i="270"/>
  <c r="K3" i="269"/>
  <c r="J3" i="269"/>
  <c r="I3" i="269"/>
  <c r="H3" i="269"/>
  <c r="G3" i="269"/>
  <c r="F3" i="269"/>
  <c r="E3" i="269"/>
  <c r="D3" i="269"/>
  <c r="C3" i="269"/>
  <c r="B2" i="269"/>
  <c r="A2" i="269"/>
  <c r="K3" i="318"/>
  <c r="J3" i="318"/>
  <c r="I3" i="318"/>
  <c r="H3" i="318"/>
  <c r="G3" i="318"/>
  <c r="F3" i="318"/>
  <c r="E3" i="318"/>
  <c r="D3" i="318"/>
  <c r="C3" i="318"/>
  <c r="B2" i="318"/>
  <c r="A2" i="317"/>
  <c r="B2" i="317"/>
  <c r="R220" i="324"/>
  <c r="T220" i="324"/>
  <c r="V220" i="324"/>
  <c r="W220" i="324"/>
  <c r="S220" i="323"/>
  <c r="O220" i="323"/>
  <c r="Q220" i="323"/>
  <c r="R220" i="323"/>
  <c r="M220" i="323"/>
  <c r="U220" i="323"/>
  <c r="T220" i="323"/>
  <c r="L220" i="323"/>
  <c r="P220" i="323"/>
  <c r="N220" i="323"/>
  <c r="V220" i="323"/>
  <c r="W220" i="323"/>
  <c r="E96" i="318"/>
  <c r="I31" i="318"/>
  <c r="I33" i="318"/>
  <c r="J46" i="324"/>
  <c r="J82" i="318"/>
  <c r="J175" i="324"/>
  <c r="J188" i="330"/>
  <c r="J95" i="330"/>
  <c r="J158" i="335"/>
  <c r="J71" i="326"/>
  <c r="J81" i="318"/>
  <c r="H96" i="318"/>
  <c r="J96" i="318" s="1"/>
  <c r="H64" i="330"/>
  <c r="I66" i="318"/>
  <c r="H44" i="174"/>
  <c r="F36" i="361"/>
  <c r="J30" i="335"/>
  <c r="J218" i="324"/>
  <c r="E76" i="318"/>
  <c r="G76" i="318"/>
  <c r="G118" i="318" s="1"/>
  <c r="J60" i="318"/>
  <c r="H76" i="318"/>
  <c r="J76" i="318"/>
  <c r="I60" i="318"/>
  <c r="I69" i="318"/>
  <c r="J69" i="318"/>
  <c r="K96" i="318"/>
  <c r="K97" i="318" s="1"/>
  <c r="J73" i="318"/>
  <c r="I73" i="318"/>
  <c r="K76" i="318"/>
  <c r="K77" i="318" s="1"/>
  <c r="F96" i="318"/>
  <c r="E116" i="318"/>
  <c r="E117" i="318"/>
  <c r="C116" i="318"/>
  <c r="C96" i="318"/>
  <c r="C76" i="318"/>
  <c r="D76" i="318"/>
  <c r="G96" i="318"/>
  <c r="K116" i="318"/>
  <c r="H116" i="318"/>
  <c r="D40" i="174"/>
  <c r="I151" i="324"/>
  <c r="D44" i="174"/>
  <c r="D51" i="174"/>
  <c r="D38" i="174"/>
  <c r="J36" i="335"/>
  <c r="J107" i="335"/>
  <c r="I107" i="335"/>
  <c r="I121" i="324"/>
  <c r="F57" i="174"/>
  <c r="J43" i="335"/>
  <c r="C222" i="330"/>
  <c r="I101" i="333"/>
  <c r="J101" i="333" s="1"/>
  <c r="G29" i="268"/>
  <c r="C53" i="323"/>
  <c r="C12" i="272" s="1"/>
  <c r="I23" i="326"/>
  <c r="D36" i="361"/>
  <c r="D35" i="361"/>
  <c r="C33" i="361"/>
  <c r="C47" i="324"/>
  <c r="C10" i="268"/>
  <c r="B35" i="361"/>
  <c r="B38" i="361" s="1"/>
  <c r="B36" i="361"/>
  <c r="J155" i="335"/>
  <c r="J80" i="324"/>
  <c r="I116" i="324"/>
  <c r="I39" i="269"/>
  <c r="J39" i="269"/>
  <c r="B26" i="361"/>
  <c r="J176" i="324"/>
  <c r="J216" i="324"/>
  <c r="J27" i="323"/>
  <c r="J131" i="335"/>
  <c r="B33" i="361"/>
  <c r="J48" i="318"/>
  <c r="C14" i="241"/>
  <c r="J128" i="335"/>
  <c r="J41" i="326"/>
  <c r="I83" i="324"/>
  <c r="J83" i="324"/>
  <c r="I89" i="333"/>
  <c r="J89" i="333" s="1"/>
  <c r="I119" i="335"/>
  <c r="J119" i="335"/>
  <c r="J59" i="270"/>
  <c r="J91" i="335"/>
  <c r="J146" i="326"/>
  <c r="I156" i="324"/>
  <c r="J156" i="324"/>
  <c r="J178" i="324"/>
  <c r="I14" i="325"/>
  <c r="J14" i="325"/>
  <c r="C129" i="330"/>
  <c r="C30" i="241" s="1"/>
  <c r="J203" i="324"/>
  <c r="E9" i="267"/>
  <c r="J130" i="324"/>
  <c r="G153" i="242"/>
  <c r="J58" i="330"/>
  <c r="J33" i="361"/>
  <c r="I46" i="318"/>
  <c r="J46" i="318"/>
  <c r="J121" i="324"/>
  <c r="J71" i="324"/>
  <c r="C53" i="268"/>
  <c r="J73" i="335"/>
  <c r="I24" i="335"/>
  <c r="J24" i="335" s="1"/>
  <c r="I21" i="333"/>
  <c r="J21" i="333"/>
  <c r="J193" i="330"/>
  <c r="K72" i="324"/>
  <c r="K15" i="268"/>
  <c r="J175" i="330"/>
  <c r="J119" i="324"/>
  <c r="C8" i="172"/>
  <c r="C13" i="267"/>
  <c r="G38" i="174"/>
  <c r="G51" i="174"/>
  <c r="G11" i="174" s="1"/>
  <c r="J153" i="323"/>
  <c r="J10" i="326"/>
  <c r="I119" i="324"/>
  <c r="J29" i="324"/>
  <c r="I29" i="324"/>
  <c r="H40" i="174"/>
  <c r="J146" i="335"/>
  <c r="I19" i="318"/>
  <c r="J19" i="318"/>
  <c r="I9" i="324"/>
  <c r="J9" i="324" s="1"/>
  <c r="I84" i="333"/>
  <c r="J84" i="333"/>
  <c r="I19" i="326"/>
  <c r="J19" i="326" s="1"/>
  <c r="J112" i="326"/>
  <c r="I34" i="323"/>
  <c r="J34" i="323"/>
  <c r="H99" i="326"/>
  <c r="G99" i="326"/>
  <c r="I93" i="335"/>
  <c r="I91" i="333"/>
  <c r="J91" i="333" s="1"/>
  <c r="J98" i="335"/>
  <c r="I205" i="324"/>
  <c r="A53" i="323"/>
  <c r="A12" i="268"/>
  <c r="I57" i="326"/>
  <c r="I14" i="335"/>
  <c r="J14" i="335" s="1"/>
  <c r="I29" i="318"/>
  <c r="J32" i="177"/>
  <c r="H43" i="174"/>
  <c r="J170" i="326"/>
  <c r="I61" i="335"/>
  <c r="J61" i="335"/>
  <c r="J169" i="324"/>
  <c r="I59" i="242"/>
  <c r="J59" i="242" s="1"/>
  <c r="J90" i="335"/>
  <c r="I90" i="335"/>
  <c r="J60" i="335"/>
  <c r="J42" i="324"/>
  <c r="J72" i="326"/>
  <c r="I169" i="324"/>
  <c r="E13" i="172"/>
  <c r="F16" i="180"/>
  <c r="I16" i="180" s="1"/>
  <c r="I140" i="324"/>
  <c r="I196" i="323"/>
  <c r="J196" i="323" s="1"/>
  <c r="J51" i="326"/>
  <c r="J78" i="335"/>
  <c r="I44" i="333"/>
  <c r="J44" i="333"/>
  <c r="I109" i="324"/>
  <c r="J30" i="326"/>
  <c r="C110" i="242"/>
  <c r="I104" i="335"/>
  <c r="A20" i="272"/>
  <c r="J54" i="324"/>
  <c r="I25" i="326"/>
  <c r="J25" i="326"/>
  <c r="I202" i="324"/>
  <c r="I30" i="318"/>
  <c r="I68" i="330"/>
  <c r="J203" i="330"/>
  <c r="I146" i="324"/>
  <c r="J88" i="324"/>
  <c r="A20" i="324"/>
  <c r="E22" i="267"/>
  <c r="A36" i="272"/>
  <c r="J145" i="335"/>
  <c r="I139" i="326"/>
  <c r="J139" i="326"/>
  <c r="I44" i="318"/>
  <c r="I54" i="268"/>
  <c r="J54" i="268" s="1"/>
  <c r="I210" i="324"/>
  <c r="I193" i="323"/>
  <c r="J193" i="323"/>
  <c r="G151" i="326"/>
  <c r="I151" i="326" s="1"/>
  <c r="J151" i="326"/>
  <c r="J113" i="326"/>
  <c r="I66" i="268"/>
  <c r="J66" i="268" s="1"/>
  <c r="I19" i="333"/>
  <c r="J19" i="333"/>
  <c r="I39" i="335"/>
  <c r="J59" i="324"/>
  <c r="I206" i="323"/>
  <c r="J206" i="323"/>
  <c r="H160" i="326"/>
  <c r="J160" i="326" s="1"/>
  <c r="J161" i="326"/>
  <c r="J9" i="326"/>
  <c r="H60" i="174"/>
  <c r="H151" i="333"/>
  <c r="I151" i="333" s="1"/>
  <c r="J151" i="333" s="1"/>
  <c r="G21" i="267"/>
  <c r="F21" i="267"/>
  <c r="H21" i="267" s="1"/>
  <c r="I21" i="267" s="1"/>
  <c r="J124" i="326"/>
  <c r="D31" i="267"/>
  <c r="I71" i="242"/>
  <c r="J71" i="242"/>
  <c r="J70" i="330"/>
  <c r="I70" i="330"/>
  <c r="I50" i="182"/>
  <c r="J50" i="182" s="1"/>
  <c r="G9" i="267"/>
  <c r="J68" i="330"/>
  <c r="J165" i="330"/>
  <c r="C12" i="267"/>
  <c r="I116" i="330"/>
  <c r="J116" i="330" s="1"/>
  <c r="J144" i="326"/>
  <c r="I123" i="326"/>
  <c r="J47" i="326"/>
  <c r="I64" i="242"/>
  <c r="J64" i="242" s="1"/>
  <c r="J26" i="326"/>
  <c r="I117" i="324"/>
  <c r="I37" i="326"/>
  <c r="J37" i="326"/>
  <c r="I122" i="335"/>
  <c r="J122" i="335"/>
  <c r="I14" i="333"/>
  <c r="J14" i="333" s="1"/>
  <c r="J128" i="333"/>
  <c r="J76" i="324"/>
  <c r="F13" i="267"/>
  <c r="J29" i="330"/>
  <c r="J152" i="335"/>
  <c r="J139" i="335"/>
  <c r="E35" i="361"/>
  <c r="E26" i="361"/>
  <c r="E13" i="267"/>
  <c r="I26" i="318"/>
  <c r="J26" i="318" s="1"/>
  <c r="K30" i="268"/>
  <c r="J29" i="182"/>
  <c r="J217" i="324"/>
  <c r="D89" i="324"/>
  <c r="D17" i="268" s="1"/>
  <c r="A25" i="272"/>
  <c r="G16" i="267"/>
  <c r="I155" i="335"/>
  <c r="J149" i="326"/>
  <c r="I168" i="330"/>
  <c r="I158" i="335"/>
  <c r="I86" i="335"/>
  <c r="J86" i="335"/>
  <c r="J79" i="335"/>
  <c r="I105" i="335"/>
  <c r="H159" i="242"/>
  <c r="I159" i="242"/>
  <c r="J159" i="242"/>
  <c r="I160" i="324"/>
  <c r="C26" i="361"/>
  <c r="I124" i="325"/>
  <c r="I45" i="182"/>
  <c r="J45" i="182" s="1"/>
  <c r="J126" i="323"/>
  <c r="I16" i="177"/>
  <c r="J16" i="177" s="1"/>
  <c r="G37" i="272"/>
  <c r="I234" i="330"/>
  <c r="J234" i="330"/>
  <c r="J136" i="326"/>
  <c r="I22" i="177"/>
  <c r="J60" i="330"/>
  <c r="J28" i="330"/>
  <c r="J150" i="330"/>
  <c r="I182" i="323"/>
  <c r="J182" i="323" s="1"/>
  <c r="H180" i="323"/>
  <c r="I180" i="323" s="1"/>
  <c r="I175" i="323"/>
  <c r="J175" i="323" s="1"/>
  <c r="I165" i="323"/>
  <c r="J165" i="323" s="1"/>
  <c r="I32" i="318"/>
  <c r="J32" i="318"/>
  <c r="F23" i="241"/>
  <c r="G160" i="335"/>
  <c r="J48" i="242"/>
  <c r="I170" i="323"/>
  <c r="I18" i="182"/>
  <c r="J219" i="330"/>
  <c r="J42" i="326"/>
  <c r="J191" i="324"/>
  <c r="J31" i="267"/>
  <c r="J42" i="242"/>
  <c r="I191" i="324"/>
  <c r="H87" i="330"/>
  <c r="I145" i="330"/>
  <c r="J145" i="330" s="1"/>
  <c r="H222" i="330"/>
  <c r="H44" i="241"/>
  <c r="G11" i="268"/>
  <c r="H11" i="268"/>
  <c r="J81" i="324"/>
  <c r="I81" i="324"/>
  <c r="J21" i="267"/>
  <c r="I124" i="333"/>
  <c r="J124" i="333" s="1"/>
  <c r="H106" i="324"/>
  <c r="H19" i="268" s="1"/>
  <c r="I149" i="326"/>
  <c r="I154" i="324"/>
  <c r="I66" i="330"/>
  <c r="J149" i="324"/>
  <c r="J19" i="242"/>
  <c r="I7" i="182"/>
  <c r="J7" i="182" s="1"/>
  <c r="J98" i="326"/>
  <c r="I46" i="326"/>
  <c r="K47" i="324"/>
  <c r="K10" i="268" s="1"/>
  <c r="I77" i="333"/>
  <c r="J77" i="333"/>
  <c r="J43" i="330"/>
  <c r="I194" i="323"/>
  <c r="J194" i="323" s="1"/>
  <c r="J112" i="242"/>
  <c r="J97" i="335"/>
  <c r="I57" i="324"/>
  <c r="G12" i="267"/>
  <c r="I77" i="326"/>
  <c r="J68" i="335"/>
  <c r="H166" i="324"/>
  <c r="G180" i="324"/>
  <c r="I138" i="242"/>
  <c r="I10" i="242"/>
  <c r="J10" i="242" s="1"/>
  <c r="J62" i="326"/>
  <c r="H151" i="335"/>
  <c r="G151" i="335"/>
  <c r="I151" i="335"/>
  <c r="J121" i="335"/>
  <c r="I121" i="335"/>
  <c r="I148" i="323"/>
  <c r="J148" i="323" s="1"/>
  <c r="I29" i="326"/>
  <c r="J96" i="242"/>
  <c r="G148" i="335"/>
  <c r="I149" i="335"/>
  <c r="J58" i="335"/>
  <c r="E12" i="267"/>
  <c r="E33" i="361"/>
  <c r="H111" i="242"/>
  <c r="D33" i="361"/>
  <c r="I98" i="330"/>
  <c r="I118" i="323"/>
  <c r="J118" i="323" s="1"/>
  <c r="H43" i="268"/>
  <c r="G43" i="268"/>
  <c r="I43" i="268"/>
  <c r="J43" i="268" s="1"/>
  <c r="I64" i="335"/>
  <c r="I93" i="333"/>
  <c r="J93" i="333"/>
  <c r="I28" i="242"/>
  <c r="J28" i="242" s="1"/>
  <c r="H197" i="323"/>
  <c r="I198" i="323"/>
  <c r="J198" i="323"/>
  <c r="I98" i="324"/>
  <c r="J98" i="324"/>
  <c r="J205" i="330"/>
  <c r="K53" i="268"/>
  <c r="I12" i="326"/>
  <c r="I146" i="335"/>
  <c r="I196" i="324"/>
  <c r="J196" i="324" s="1"/>
  <c r="I122" i="324"/>
  <c r="J87" i="335"/>
  <c r="I177" i="323"/>
  <c r="J177" i="323" s="1"/>
  <c r="C9" i="267"/>
  <c r="D69" i="182"/>
  <c r="I89" i="323"/>
  <c r="J89" i="323" s="1"/>
  <c r="C2" i="177"/>
  <c r="J29" i="325"/>
  <c r="I100" i="242"/>
  <c r="J100" i="242"/>
  <c r="I135" i="323"/>
  <c r="J135" i="323"/>
  <c r="I115" i="242"/>
  <c r="J115" i="242" s="1"/>
  <c r="I67" i="335"/>
  <c r="J67" i="335"/>
  <c r="G155" i="323"/>
  <c r="G28" i="272"/>
  <c r="J181" i="324"/>
  <c r="K6" i="323"/>
  <c r="I242" i="330"/>
  <c r="J242" i="330"/>
  <c r="I70" i="323"/>
  <c r="J70" i="323" s="1"/>
  <c r="G56" i="174"/>
  <c r="I28" i="182"/>
  <c r="I23" i="318"/>
  <c r="I39" i="330"/>
  <c r="I16" i="330"/>
  <c r="J16" i="330"/>
  <c r="E14" i="267"/>
  <c r="J99" i="323"/>
  <c r="H47" i="323"/>
  <c r="G58" i="323"/>
  <c r="F44" i="178"/>
  <c r="I33" i="330"/>
  <c r="J33" i="330"/>
  <c r="I12" i="330"/>
  <c r="J18" i="242"/>
  <c r="I11" i="242"/>
  <c r="I78" i="330"/>
  <c r="J78" i="330" s="1"/>
  <c r="J82" i="335"/>
  <c r="H7" i="330"/>
  <c r="H7" i="241" s="1"/>
  <c r="C2" i="178"/>
  <c r="H33" i="323"/>
  <c r="H9" i="272" s="1"/>
  <c r="I26" i="323"/>
  <c r="J26" i="323"/>
  <c r="J67" i="326"/>
  <c r="I24" i="326"/>
  <c r="I110" i="324"/>
  <c r="J110" i="324"/>
  <c r="I93" i="324"/>
  <c r="I84" i="335"/>
  <c r="I184" i="323"/>
  <c r="J184" i="323"/>
  <c r="H111" i="326"/>
  <c r="J111" i="326" s="1"/>
  <c r="K108" i="324"/>
  <c r="K20" i="268"/>
  <c r="J146" i="324"/>
  <c r="I37" i="323"/>
  <c r="J37" i="323" s="1"/>
  <c r="I119" i="242"/>
  <c r="J119" i="242" s="1"/>
  <c r="I95" i="242"/>
  <c r="J95" i="242"/>
  <c r="I98" i="333"/>
  <c r="J98" i="333"/>
  <c r="C2" i="182"/>
  <c r="I132" i="242"/>
  <c r="J132" i="242"/>
  <c r="G111" i="326"/>
  <c r="I112" i="326"/>
  <c r="J122" i="323"/>
  <c r="J135" i="324"/>
  <c r="H47" i="324"/>
  <c r="H10" i="268" s="1"/>
  <c r="E57" i="174"/>
  <c r="C21" i="267"/>
  <c r="D21" i="267"/>
  <c r="I54" i="242"/>
  <c r="J54" i="242" s="1"/>
  <c r="I18" i="242"/>
  <c r="D2" i="183"/>
  <c r="G136" i="324"/>
  <c r="G26" i="268"/>
  <c r="I182" i="330"/>
  <c r="J182" i="330"/>
  <c r="I98" i="326"/>
  <c r="J86" i="326"/>
  <c r="I86" i="326"/>
  <c r="I73" i="326"/>
  <c r="G115" i="324"/>
  <c r="I63" i="324"/>
  <c r="J160" i="242"/>
  <c r="J133" i="335"/>
  <c r="J209" i="323"/>
  <c r="I149" i="323"/>
  <c r="J149" i="323"/>
  <c r="J34" i="177"/>
  <c r="J23" i="324"/>
  <c r="H38" i="268"/>
  <c r="J38" i="268" s="1"/>
  <c r="I77" i="330"/>
  <c r="H12" i="241"/>
  <c r="I148" i="326"/>
  <c r="J148" i="326"/>
  <c r="H135" i="326"/>
  <c r="I135" i="326" s="1"/>
  <c r="J135" i="326"/>
  <c r="I136" i="326"/>
  <c r="I128" i="326"/>
  <c r="J128" i="326"/>
  <c r="G103" i="333"/>
  <c r="I40" i="324"/>
  <c r="J40" i="324" s="1"/>
  <c r="C63" i="242"/>
  <c r="J51" i="182"/>
  <c r="J12" i="242"/>
  <c r="I12" i="242"/>
  <c r="H32" i="241"/>
  <c r="I59" i="323"/>
  <c r="J59" i="323"/>
  <c r="I113" i="242"/>
  <c r="J104" i="242"/>
  <c r="I104" i="242"/>
  <c r="J80" i="326"/>
  <c r="I142" i="333"/>
  <c r="J142" i="333" s="1"/>
  <c r="I218" i="324"/>
  <c r="H128" i="324"/>
  <c r="H25" i="268" s="1"/>
  <c r="G128" i="324"/>
  <c r="G25" i="268" s="1"/>
  <c r="I86" i="324"/>
  <c r="J86" i="324"/>
  <c r="I73" i="324"/>
  <c r="J73" i="324"/>
  <c r="I144" i="330"/>
  <c r="J144" i="330"/>
  <c r="J169" i="330"/>
  <c r="I169" i="330"/>
  <c r="H141" i="323"/>
  <c r="H27" i="272" s="1"/>
  <c r="I143" i="323"/>
  <c r="J143" i="323" s="1"/>
  <c r="J105" i="326"/>
  <c r="I141" i="333"/>
  <c r="J141" i="333"/>
  <c r="J55" i="335"/>
  <c r="J44" i="335"/>
  <c r="G180" i="323"/>
  <c r="G172" i="323"/>
  <c r="I148" i="324"/>
  <c r="J148" i="324"/>
  <c r="C99" i="242"/>
  <c r="I24" i="318"/>
  <c r="J154" i="335"/>
  <c r="I154" i="335"/>
  <c r="J162" i="324"/>
  <c r="C200" i="323"/>
  <c r="C36" i="272" s="1"/>
  <c r="I52" i="325"/>
  <c r="J52" i="325"/>
  <c r="D13" i="326"/>
  <c r="I25" i="330"/>
  <c r="J25" i="330" s="1"/>
  <c r="G24" i="330"/>
  <c r="I25" i="323"/>
  <c r="J25" i="323" s="1"/>
  <c r="I142" i="324"/>
  <c r="J15" i="324"/>
  <c r="I15" i="324"/>
  <c r="F16" i="267"/>
  <c r="H16" i="267" s="1"/>
  <c r="I87" i="242"/>
  <c r="J87" i="242"/>
  <c r="I143" i="330"/>
  <c r="J143" i="330" s="1"/>
  <c r="I132" i="326"/>
  <c r="J132" i="326" s="1"/>
  <c r="J122" i="326"/>
  <c r="I87" i="326"/>
  <c r="J87" i="326" s="1"/>
  <c r="J66" i="326"/>
  <c r="J99" i="324"/>
  <c r="I99" i="324"/>
  <c r="J36" i="324"/>
  <c r="I35" i="182"/>
  <c r="B24" i="361"/>
  <c r="C33" i="324"/>
  <c r="C9" i="268" s="1"/>
  <c r="D43" i="174"/>
  <c r="A33" i="324"/>
  <c r="E53" i="323"/>
  <c r="E12" i="272" s="1"/>
  <c r="J56" i="326"/>
  <c r="I64" i="333"/>
  <c r="J64" i="333" s="1"/>
  <c r="H45" i="333"/>
  <c r="I88" i="333"/>
  <c r="J88" i="333"/>
  <c r="J85" i="335"/>
  <c r="I85" i="335"/>
  <c r="J31" i="335"/>
  <c r="I87" i="324"/>
  <c r="J87" i="324" s="1"/>
  <c r="I45" i="324"/>
  <c r="J45" i="324"/>
  <c r="D32" i="268"/>
  <c r="F12" i="267"/>
  <c r="H12" i="267" s="1"/>
  <c r="K103" i="242"/>
  <c r="I91" i="330"/>
  <c r="J91" i="330"/>
  <c r="J41" i="330"/>
  <c r="J213" i="330"/>
  <c r="I181" i="330"/>
  <c r="I13" i="323"/>
  <c r="J13" i="323" s="1"/>
  <c r="J171" i="324"/>
  <c r="C31" i="183"/>
  <c r="I107" i="323"/>
  <c r="J79" i="323"/>
  <c r="I72" i="335"/>
  <c r="J144" i="323"/>
  <c r="I212" i="330"/>
  <c r="J212" i="330" s="1"/>
  <c r="I61" i="326"/>
  <c r="J61" i="326"/>
  <c r="I142" i="323"/>
  <c r="J142" i="323"/>
  <c r="D166" i="326"/>
  <c r="J92" i="325"/>
  <c r="E47" i="323"/>
  <c r="E10" i="272" s="1"/>
  <c r="I73" i="330"/>
  <c r="J144" i="242"/>
  <c r="J49" i="318"/>
  <c r="G67" i="330"/>
  <c r="G15" i="241" s="1"/>
  <c r="J115" i="330"/>
  <c r="I115" i="330"/>
  <c r="J124" i="323"/>
  <c r="I201" i="324"/>
  <c r="J201" i="324" s="1"/>
  <c r="I50" i="324"/>
  <c r="J50" i="324"/>
  <c r="C161" i="324"/>
  <c r="C30" i="268" s="1"/>
  <c r="C172" i="324"/>
  <c r="C32" i="268" s="1"/>
  <c r="I112" i="242"/>
  <c r="I97" i="333"/>
  <c r="J97" i="333" s="1"/>
  <c r="I88" i="335"/>
  <c r="J88" i="335"/>
  <c r="I194" i="324"/>
  <c r="J194" i="324"/>
  <c r="H61" i="174"/>
  <c r="J121" i="326"/>
  <c r="I121" i="326"/>
  <c r="I38" i="324"/>
  <c r="I38" i="323"/>
  <c r="J38" i="323"/>
  <c r="J91" i="324"/>
  <c r="I37" i="242"/>
  <c r="J37" i="242" s="1"/>
  <c r="J133" i="324"/>
  <c r="I89" i="335"/>
  <c r="I60" i="335"/>
  <c r="I177" i="324"/>
  <c r="I10" i="177"/>
  <c r="J10" i="177"/>
  <c r="I15" i="335"/>
  <c r="J15" i="335"/>
  <c r="I132" i="323"/>
  <c r="J132" i="323" s="1"/>
  <c r="I84" i="324"/>
  <c r="I95" i="324"/>
  <c r="E37" i="177"/>
  <c r="D45" i="267"/>
  <c r="H20" i="268"/>
  <c r="D42" i="174"/>
  <c r="E180" i="324"/>
  <c r="E33" i="268"/>
  <c r="F51" i="178"/>
  <c r="I12" i="177"/>
  <c r="J12" i="177" s="1"/>
  <c r="G19" i="272"/>
  <c r="E7" i="267"/>
  <c r="I204" i="330"/>
  <c r="G198" i="330"/>
  <c r="I192" i="330"/>
  <c r="F64" i="330"/>
  <c r="F14" i="241" s="1"/>
  <c r="F35" i="361"/>
  <c r="G40" i="174"/>
  <c r="F33" i="361"/>
  <c r="I47" i="242"/>
  <c r="J47" i="242"/>
  <c r="I152" i="335"/>
  <c r="I132" i="335"/>
  <c r="I35" i="335"/>
  <c r="J35" i="335"/>
  <c r="I129" i="324"/>
  <c r="J129" i="324" s="1"/>
  <c r="K111" i="335"/>
  <c r="I145" i="242"/>
  <c r="J140" i="242"/>
  <c r="J59" i="326"/>
  <c r="I59" i="326"/>
  <c r="I30" i="333"/>
  <c r="J30" i="333" s="1"/>
  <c r="I12" i="325"/>
  <c r="J12" i="325"/>
  <c r="I101" i="330"/>
  <c r="J101" i="330"/>
  <c r="D117" i="318"/>
  <c r="J126" i="335"/>
  <c r="J94" i="324"/>
  <c r="I59" i="330"/>
  <c r="J107" i="330"/>
  <c r="I52" i="324"/>
  <c r="J52" i="324" s="1"/>
  <c r="K111" i="333"/>
  <c r="K110" i="333" s="1"/>
  <c r="K114" i="333"/>
  <c r="D56" i="174"/>
  <c r="D4" i="172"/>
  <c r="I85" i="330"/>
  <c r="J167" i="330"/>
  <c r="I167" i="330"/>
  <c r="I137" i="330"/>
  <c r="J137" i="330" s="1"/>
  <c r="I94" i="326"/>
  <c r="J94" i="326"/>
  <c r="I170" i="330"/>
  <c r="J180" i="330"/>
  <c r="I57" i="325"/>
  <c r="J57" i="325" s="1"/>
  <c r="G111" i="325"/>
  <c r="J89" i="330"/>
  <c r="J106" i="242"/>
  <c r="I28" i="335"/>
  <c r="J28" i="335"/>
  <c r="I73" i="323"/>
  <c r="J73" i="323" s="1"/>
  <c r="I151" i="323"/>
  <c r="J151" i="323" s="1"/>
  <c r="I198" i="324"/>
  <c r="J198" i="324"/>
  <c r="E69" i="325"/>
  <c r="I22" i="182"/>
  <c r="J22" i="182" s="1"/>
  <c r="J74" i="330"/>
  <c r="I94" i="323"/>
  <c r="J94" i="323" s="1"/>
  <c r="E13" i="335"/>
  <c r="J93" i="330"/>
  <c r="I202" i="330"/>
  <c r="I11" i="335"/>
  <c r="J11" i="335" s="1"/>
  <c r="J68" i="325"/>
  <c r="H148" i="325"/>
  <c r="I148" i="325" s="1"/>
  <c r="I149" i="325"/>
  <c r="I67" i="324"/>
  <c r="J67" i="324"/>
  <c r="I24" i="324"/>
  <c r="J24" i="324" s="1"/>
  <c r="I89" i="325"/>
  <c r="J89" i="325" s="1"/>
  <c r="E103" i="335"/>
  <c r="G177" i="330"/>
  <c r="D111" i="325"/>
  <c r="I72" i="268"/>
  <c r="J72" i="268"/>
  <c r="I123" i="330"/>
  <c r="J123" i="330"/>
  <c r="I161" i="333"/>
  <c r="J161" i="333" s="1"/>
  <c r="H160" i="333"/>
  <c r="I160" i="333" s="1"/>
  <c r="J160" i="333" s="1"/>
  <c r="E129" i="330"/>
  <c r="K89" i="323"/>
  <c r="K17" i="272"/>
  <c r="J166" i="330"/>
  <c r="G21" i="175"/>
  <c r="I23" i="242"/>
  <c r="I89" i="242"/>
  <c r="J89" i="242"/>
  <c r="I18" i="324"/>
  <c r="I50" i="242"/>
  <c r="J50" i="242"/>
  <c r="J106" i="330"/>
  <c r="I35" i="326"/>
  <c r="J35" i="326" s="1"/>
  <c r="J108" i="333"/>
  <c r="C35" i="361"/>
  <c r="C38" i="361" s="1"/>
  <c r="E40" i="174"/>
  <c r="I65" i="330"/>
  <c r="J65" i="330"/>
  <c r="E114" i="242"/>
  <c r="E111" i="242"/>
  <c r="E110" i="242"/>
  <c r="H21" i="175"/>
  <c r="I96" i="330"/>
  <c r="J11" i="318"/>
  <c r="I11" i="333"/>
  <c r="J11" i="333"/>
  <c r="H8" i="333"/>
  <c r="H114" i="335"/>
  <c r="J115" i="335"/>
  <c r="I117" i="323"/>
  <c r="J117" i="323" s="1"/>
  <c r="I84" i="242"/>
  <c r="J84" i="242" s="1"/>
  <c r="I109" i="330"/>
  <c r="J109" i="330" s="1"/>
  <c r="I63" i="330"/>
  <c r="I50" i="323"/>
  <c r="J50" i="323"/>
  <c r="I44" i="242"/>
  <c r="J44" i="242"/>
  <c r="J13" i="324"/>
  <c r="J25" i="318"/>
  <c r="I127" i="333"/>
  <c r="J127" i="333" s="1"/>
  <c r="D48" i="174"/>
  <c r="I213" i="323"/>
  <c r="J213" i="323"/>
  <c r="I144" i="324"/>
  <c r="J144" i="324" s="1"/>
  <c r="B15" i="267"/>
  <c r="I131" i="335"/>
  <c r="J56" i="335"/>
  <c r="G13" i="333"/>
  <c r="I50" i="335"/>
  <c r="I107" i="324"/>
  <c r="G106" i="324"/>
  <c r="I90" i="323"/>
  <c r="J90" i="323" s="1"/>
  <c r="I192" i="323"/>
  <c r="J192" i="323"/>
  <c r="J11" i="326"/>
  <c r="G48" i="174"/>
  <c r="C87" i="330"/>
  <c r="C18" i="241" s="1"/>
  <c r="H28" i="324"/>
  <c r="H8" i="268" s="1"/>
  <c r="C53" i="242"/>
  <c r="I97" i="242"/>
  <c r="J112" i="333"/>
  <c r="E28" i="177"/>
  <c r="D44" i="267"/>
  <c r="C21" i="241"/>
  <c r="J70" i="324"/>
  <c r="C8" i="326"/>
  <c r="D69" i="326"/>
  <c r="K104" i="330"/>
  <c r="H37" i="241"/>
  <c r="G186" i="330"/>
  <c r="G37" i="241" s="1"/>
  <c r="I37" i="241" s="1"/>
  <c r="J37" i="241" s="1"/>
  <c r="D61" i="174"/>
  <c r="J243" i="330"/>
  <c r="G32" i="334"/>
  <c r="E103" i="333"/>
  <c r="I46" i="330"/>
  <c r="I136" i="330"/>
  <c r="J136" i="330" s="1"/>
  <c r="J25" i="333"/>
  <c r="I187" i="324"/>
  <c r="J66" i="324"/>
  <c r="H14" i="241"/>
  <c r="J55" i="242"/>
  <c r="H8" i="242"/>
  <c r="I9" i="242"/>
  <c r="J9" i="242" s="1"/>
  <c r="J185" i="324"/>
  <c r="I185" i="324"/>
  <c r="J204" i="324"/>
  <c r="G197" i="324"/>
  <c r="G35" i="268" s="1"/>
  <c r="I14" i="324"/>
  <c r="J14" i="324" s="1"/>
  <c r="I71" i="335"/>
  <c r="I31" i="267"/>
  <c r="I157" i="324"/>
  <c r="J157" i="324"/>
  <c r="H155" i="324"/>
  <c r="I150" i="324"/>
  <c r="I85" i="324"/>
  <c r="J37" i="324"/>
  <c r="I31" i="324"/>
  <c r="J31" i="324" s="1"/>
  <c r="I19" i="324"/>
  <c r="G18" i="177"/>
  <c r="I7" i="177"/>
  <c r="J7" i="177" s="1"/>
  <c r="I128" i="325"/>
  <c r="I120" i="242"/>
  <c r="I28" i="326"/>
  <c r="I10" i="325"/>
  <c r="I136" i="335"/>
  <c r="H135" i="335"/>
  <c r="J135" i="335" s="1"/>
  <c r="J136" i="335"/>
  <c r="J97" i="324"/>
  <c r="J26" i="324"/>
  <c r="I12" i="324"/>
  <c r="J12" i="324"/>
  <c r="G54" i="174"/>
  <c r="H69" i="333"/>
  <c r="I41" i="333"/>
  <c r="J41" i="333" s="1"/>
  <c r="G216" i="323"/>
  <c r="G38" i="272" s="1"/>
  <c r="J170" i="324"/>
  <c r="G155" i="324"/>
  <c r="G28" i="268" s="1"/>
  <c r="G75" i="324"/>
  <c r="G16" i="268" s="1"/>
  <c r="G57" i="174"/>
  <c r="G69" i="182"/>
  <c r="E14" i="172"/>
  <c r="F48" i="241"/>
  <c r="I107" i="242"/>
  <c r="F45" i="325"/>
  <c r="I120" i="333"/>
  <c r="J120" i="333" s="1"/>
  <c r="J144" i="335"/>
  <c r="J56" i="324"/>
  <c r="J208" i="324"/>
  <c r="C118" i="335"/>
  <c r="C130" i="335"/>
  <c r="C117" i="335"/>
  <c r="K117" i="318"/>
  <c r="F53" i="242"/>
  <c r="J82" i="330"/>
  <c r="I82" i="330"/>
  <c r="I55" i="323"/>
  <c r="J55" i="323" s="1"/>
  <c r="H165" i="242"/>
  <c r="J165" i="242"/>
  <c r="I88" i="242"/>
  <c r="J88" i="242"/>
  <c r="I154" i="330"/>
  <c r="J215" i="330"/>
  <c r="H214" i="330"/>
  <c r="I52" i="242"/>
  <c r="J52" i="242"/>
  <c r="I35" i="330"/>
  <c r="J35" i="330" s="1"/>
  <c r="I155" i="330"/>
  <c r="J155" i="330"/>
  <c r="I134" i="330"/>
  <c r="J134" i="330" s="1"/>
  <c r="I243" i="330"/>
  <c r="G240" i="330"/>
  <c r="G48" i="241"/>
  <c r="I48" i="241"/>
  <c r="J48" i="241" s="1"/>
  <c r="J50" i="326"/>
  <c r="H45" i="326"/>
  <c r="J45" i="326" s="1"/>
  <c r="F69" i="182"/>
  <c r="F108" i="324"/>
  <c r="F20" i="268" s="1"/>
  <c r="A36" i="268"/>
  <c r="A18" i="268"/>
  <c r="A200" i="323"/>
  <c r="I76" i="324"/>
  <c r="A89" i="324"/>
  <c r="A197" i="323"/>
  <c r="A17" i="272"/>
  <c r="I83" i="330"/>
  <c r="J191" i="330"/>
  <c r="I174" i="330"/>
  <c r="J174" i="330" s="1"/>
  <c r="I96" i="333"/>
  <c r="J96" i="333"/>
  <c r="A53" i="324"/>
  <c r="A30" i="272"/>
  <c r="A161" i="323"/>
  <c r="J229" i="330"/>
  <c r="F103" i="325"/>
  <c r="K13" i="326"/>
  <c r="D2" i="335"/>
  <c r="D2" i="181"/>
  <c r="I111" i="330"/>
  <c r="J111" i="330" s="1"/>
  <c r="J81" i="326"/>
  <c r="I81" i="326"/>
  <c r="I65" i="326"/>
  <c r="I91" i="335"/>
  <c r="K155" i="324"/>
  <c r="K28" i="268"/>
  <c r="A30" i="268"/>
  <c r="A44" i="334"/>
  <c r="A52" i="269"/>
  <c r="C55" i="269"/>
  <c r="I200" i="330"/>
  <c r="J200" i="330"/>
  <c r="J67" i="323"/>
  <c r="J100" i="335"/>
  <c r="E15" i="267"/>
  <c r="D38" i="361"/>
  <c r="A14" i="268"/>
  <c r="I107" i="325"/>
  <c r="J107" i="325" s="1"/>
  <c r="K7" i="175"/>
  <c r="I142" i="335"/>
  <c r="J142" i="335"/>
  <c r="J83" i="335"/>
  <c r="D53" i="324"/>
  <c r="D12" i="268"/>
  <c r="I144" i="333"/>
  <c r="J144" i="333"/>
  <c r="K99" i="325"/>
  <c r="H177" i="330"/>
  <c r="I70" i="325"/>
  <c r="J70" i="325" s="1"/>
  <c r="I68" i="326"/>
  <c r="I133" i="323"/>
  <c r="J133" i="323" s="1"/>
  <c r="F69" i="242"/>
  <c r="D51" i="178"/>
  <c r="J241" i="330"/>
  <c r="I241" i="330"/>
  <c r="J21" i="335"/>
  <c r="E70" i="268"/>
  <c r="D29" i="267" s="1"/>
  <c r="I48" i="325"/>
  <c r="J48" i="325" s="1"/>
  <c r="I232" i="330"/>
  <c r="J232" i="330" s="1"/>
  <c r="H35" i="272"/>
  <c r="K20" i="324"/>
  <c r="K7" i="268" s="1"/>
  <c r="J91" i="242"/>
  <c r="I36" i="326"/>
  <c r="I146" i="333"/>
  <c r="J146" i="333"/>
  <c r="K58" i="324"/>
  <c r="K13" i="268"/>
  <c r="I121" i="242"/>
  <c r="J121" i="242"/>
  <c r="I29" i="330"/>
  <c r="I220" i="330"/>
  <c r="J140" i="323"/>
  <c r="I80" i="324"/>
  <c r="C27" i="242"/>
  <c r="J49" i="242"/>
  <c r="I225" i="330"/>
  <c r="I51" i="335"/>
  <c r="I175" i="324"/>
  <c r="J109" i="324"/>
  <c r="I102" i="333"/>
  <c r="J102" i="333" s="1"/>
  <c r="I152" i="323"/>
  <c r="J152" i="323" s="1"/>
  <c r="K141" i="324"/>
  <c r="K27" i="268"/>
  <c r="I16" i="242"/>
  <c r="J16" i="242"/>
  <c r="J24" i="325"/>
  <c r="I189" i="323"/>
  <c r="J189" i="323"/>
  <c r="I34" i="242"/>
  <c r="I13" i="318"/>
  <c r="J13" i="318"/>
  <c r="I128" i="242"/>
  <c r="I129" i="326"/>
  <c r="I116" i="326"/>
  <c r="J126" i="333"/>
  <c r="I143" i="324"/>
  <c r="J140" i="330"/>
  <c r="I143" i="333"/>
  <c r="J143" i="333"/>
  <c r="I85" i="333"/>
  <c r="J85" i="333"/>
  <c r="J125" i="335"/>
  <c r="I125" i="335"/>
  <c r="I131" i="324"/>
  <c r="K8" i="268"/>
  <c r="J14" i="182"/>
  <c r="I164" i="326"/>
  <c r="I43" i="326"/>
  <c r="I86" i="333"/>
  <c r="J86" i="333" s="1"/>
  <c r="I34" i="335"/>
  <c r="I211" i="323"/>
  <c r="I132" i="324"/>
  <c r="I77" i="324"/>
  <c r="J77" i="324"/>
  <c r="C89" i="324"/>
  <c r="C17" i="268"/>
  <c r="I28" i="270"/>
  <c r="J28" i="270" s="1"/>
  <c r="I27" i="270"/>
  <c r="J27" i="270" s="1"/>
  <c r="I24" i="270"/>
  <c r="J24" i="270"/>
  <c r="I20" i="270"/>
  <c r="J20" i="270" s="1"/>
  <c r="I19" i="270"/>
  <c r="J19" i="270" s="1"/>
  <c r="I13" i="270"/>
  <c r="J13" i="270" s="1"/>
  <c r="I18" i="270"/>
  <c r="J18" i="270"/>
  <c r="D8" i="270"/>
  <c r="I23" i="270"/>
  <c r="J23" i="270"/>
  <c r="J30" i="270"/>
  <c r="I12" i="270"/>
  <c r="J12" i="270" s="1"/>
  <c r="I33" i="270"/>
  <c r="J33" i="270"/>
  <c r="I9" i="270"/>
  <c r="J9" i="270"/>
  <c r="G6" i="180"/>
  <c r="C28" i="172"/>
  <c r="D9" i="172"/>
  <c r="D11" i="172"/>
  <c r="B39" i="172"/>
  <c r="J19" i="268"/>
  <c r="J106" i="324"/>
  <c r="I8" i="242"/>
  <c r="J8" i="242" s="1"/>
  <c r="H13" i="242"/>
  <c r="I13" i="242" s="1"/>
  <c r="H63" i="242"/>
  <c r="I63" i="242" s="1"/>
  <c r="I34" i="325"/>
  <c r="J34" i="325"/>
  <c r="I135" i="335"/>
  <c r="E38" i="333"/>
  <c r="K161" i="323"/>
  <c r="K30" i="272" s="1"/>
  <c r="F41" i="334"/>
  <c r="G41" i="334"/>
  <c r="E27" i="325"/>
  <c r="G52" i="174"/>
  <c r="I81" i="325"/>
  <c r="J81" i="325" s="1"/>
  <c r="I16" i="183"/>
  <c r="J16" i="183" s="1"/>
  <c r="E77" i="318"/>
  <c r="G58" i="174"/>
  <c r="I36" i="177"/>
  <c r="J36" i="177"/>
  <c r="G37" i="177"/>
  <c r="I37" i="177" s="1"/>
  <c r="F45" i="267"/>
  <c r="I100" i="325"/>
  <c r="J100" i="325" s="1"/>
  <c r="D2" i="182"/>
  <c r="D2" i="242"/>
  <c r="D2" i="326"/>
  <c r="D2" i="325"/>
  <c r="D2" i="268"/>
  <c r="E2" i="174"/>
  <c r="I29" i="323"/>
  <c r="J29" i="323" s="1"/>
  <c r="I123" i="323"/>
  <c r="G189" i="330"/>
  <c r="G38" i="241" s="1"/>
  <c r="J185" i="330"/>
  <c r="I156" i="323"/>
  <c r="J156" i="323"/>
  <c r="I87" i="323"/>
  <c r="I143" i="335"/>
  <c r="J143" i="335"/>
  <c r="I191" i="323"/>
  <c r="J191" i="323"/>
  <c r="D76" i="242"/>
  <c r="I188" i="330"/>
  <c r="I97" i="323"/>
  <c r="I83" i="323"/>
  <c r="J16" i="333"/>
  <c r="I161" i="335"/>
  <c r="A92" i="323"/>
  <c r="A92" i="324"/>
  <c r="A18" i="272"/>
  <c r="A200" i="324"/>
  <c r="I50" i="330"/>
  <c r="J50" i="330"/>
  <c r="J202" i="330"/>
  <c r="I187" i="330"/>
  <c r="J187" i="330" s="1"/>
  <c r="J183" i="330"/>
  <c r="F16" i="334"/>
  <c r="G16" i="334" s="1"/>
  <c r="I206" i="330"/>
  <c r="G53" i="242"/>
  <c r="G27" i="242"/>
  <c r="I30" i="242"/>
  <c r="J30" i="242" s="1"/>
  <c r="I56" i="330"/>
  <c r="G147" i="242"/>
  <c r="C111" i="335"/>
  <c r="C110" i="335"/>
  <c r="K8" i="333"/>
  <c r="I9" i="318"/>
  <c r="J9" i="318"/>
  <c r="I97" i="326"/>
  <c r="J97" i="326"/>
  <c r="G60" i="174"/>
  <c r="I145" i="324"/>
  <c r="H141" i="324"/>
  <c r="I141" i="324"/>
  <c r="I27" i="268" s="1"/>
  <c r="J39" i="318"/>
  <c r="I69" i="323"/>
  <c r="J69" i="323" s="1"/>
  <c r="J207" i="324"/>
  <c r="I207" i="324"/>
  <c r="H200" i="324"/>
  <c r="H36" i="268"/>
  <c r="J8" i="324"/>
  <c r="I8" i="324"/>
  <c r="E58" i="174"/>
  <c r="C92" i="324"/>
  <c r="C18" i="268" s="1"/>
  <c r="G72" i="323"/>
  <c r="I72" i="323" s="1"/>
  <c r="I74" i="323"/>
  <c r="J74" i="323"/>
  <c r="I106" i="333"/>
  <c r="J106" i="333" s="1"/>
  <c r="J91" i="326"/>
  <c r="J145" i="324"/>
  <c r="J12" i="326"/>
  <c r="H8" i="326"/>
  <c r="J56" i="330"/>
  <c r="G69" i="326"/>
  <c r="K28" i="323"/>
  <c r="K8" i="272" s="1"/>
  <c r="E43" i="174"/>
  <c r="I157" i="242"/>
  <c r="J157" i="242" s="1"/>
  <c r="I76" i="318"/>
  <c r="D186" i="330"/>
  <c r="D37" i="241" s="1"/>
  <c r="I15" i="242"/>
  <c r="J15" i="242" s="1"/>
  <c r="I80" i="323"/>
  <c r="D63" i="242"/>
  <c r="D111" i="242"/>
  <c r="I170" i="326"/>
  <c r="G32" i="272"/>
  <c r="A34" i="268"/>
  <c r="A183" i="323"/>
  <c r="H17" i="326"/>
  <c r="I62" i="323"/>
  <c r="J62" i="323" s="1"/>
  <c r="H69" i="326"/>
  <c r="I69" i="326" s="1"/>
  <c r="I72" i="326"/>
  <c r="J65" i="326"/>
  <c r="H63" i="326"/>
  <c r="J63" i="326"/>
  <c r="I148" i="242"/>
  <c r="J148" i="242"/>
  <c r="I102" i="242"/>
  <c r="J102" i="242"/>
  <c r="I120" i="323"/>
  <c r="J120" i="323" s="1"/>
  <c r="G114" i="323"/>
  <c r="G24" i="272" s="1"/>
  <c r="F103" i="335"/>
  <c r="B2" i="267"/>
  <c r="C2" i="241"/>
  <c r="C2" i="325"/>
  <c r="C24" i="361"/>
  <c r="F118" i="330"/>
  <c r="F25" i="241"/>
  <c r="G146" i="330"/>
  <c r="I147" i="330"/>
  <c r="J147" i="330" s="1"/>
  <c r="J44" i="326"/>
  <c r="F19" i="241"/>
  <c r="E100" i="330"/>
  <c r="E21" i="241" s="1"/>
  <c r="I86" i="330"/>
  <c r="J52" i="326"/>
  <c r="J66" i="335"/>
  <c r="I66" i="335"/>
  <c r="G32" i="267"/>
  <c r="A128" i="324"/>
  <c r="A7" i="272"/>
  <c r="A20" i="323"/>
  <c r="F38" i="334"/>
  <c r="G38" i="334" s="1"/>
  <c r="K63" i="325"/>
  <c r="H76" i="335"/>
  <c r="I30" i="323"/>
  <c r="J30" i="323"/>
  <c r="J22" i="325"/>
  <c r="I20" i="318"/>
  <c r="J20" i="318" s="1"/>
  <c r="I52" i="318"/>
  <c r="D16" i="267"/>
  <c r="F76" i="330"/>
  <c r="I40" i="330"/>
  <c r="J40" i="330"/>
  <c r="I47" i="326"/>
  <c r="K89" i="324"/>
  <c r="K17" i="268" s="1"/>
  <c r="I116" i="318"/>
  <c r="B16" i="267"/>
  <c r="J25" i="335"/>
  <c r="I126" i="324"/>
  <c r="I68" i="335"/>
  <c r="I42" i="333"/>
  <c r="J42" i="333" s="1"/>
  <c r="F72" i="324"/>
  <c r="F15" i="268" s="1"/>
  <c r="J153" i="330"/>
  <c r="I20" i="326"/>
  <c r="I79" i="333"/>
  <c r="J79" i="333"/>
  <c r="F180" i="323"/>
  <c r="F33" i="272"/>
  <c r="J100" i="324"/>
  <c r="B5" i="172"/>
  <c r="B18" i="180"/>
  <c r="C111" i="325"/>
  <c r="K111" i="242"/>
  <c r="J16" i="325"/>
  <c r="I204" i="323"/>
  <c r="J204" i="323"/>
  <c r="I8" i="330"/>
  <c r="J8" i="330"/>
  <c r="C63" i="333"/>
  <c r="F111" i="242"/>
  <c r="J32" i="323"/>
  <c r="I79" i="324"/>
  <c r="J79" i="324"/>
  <c r="J100" i="326"/>
  <c r="I43" i="335"/>
  <c r="C28" i="324"/>
  <c r="C8" i="268" s="1"/>
  <c r="I8" i="182"/>
  <c r="J8" i="182"/>
  <c r="C14" i="318"/>
  <c r="I92" i="326"/>
  <c r="I73" i="335"/>
  <c r="J78" i="242"/>
  <c r="I212" i="323"/>
  <c r="J212" i="323" s="1"/>
  <c r="H63" i="174"/>
  <c r="H18" i="174"/>
  <c r="P21" i="317"/>
  <c r="P32" i="317" s="1"/>
  <c r="P44" i="317"/>
  <c r="P49" i="317"/>
  <c r="J72" i="323"/>
  <c r="J13" i="242"/>
  <c r="F40" i="270"/>
  <c r="F59" i="270"/>
  <c r="E64" i="330"/>
  <c r="E14" i="241"/>
  <c r="J14" i="267"/>
  <c r="J24" i="361"/>
  <c r="I114" i="330"/>
  <c r="I120" i="330"/>
  <c r="J120" i="330" s="1"/>
  <c r="I158" i="330"/>
  <c r="J158" i="330" s="1"/>
  <c r="J245" i="330"/>
  <c r="I239" i="330"/>
  <c r="J239" i="330" s="1"/>
  <c r="I43" i="323"/>
  <c r="J43" i="323"/>
  <c r="I24" i="323"/>
  <c r="J24" i="323"/>
  <c r="I7" i="323"/>
  <c r="J7" i="323"/>
  <c r="K13" i="175"/>
  <c r="K12" i="175"/>
  <c r="L12" i="175"/>
  <c r="K6" i="175"/>
  <c r="G14" i="175"/>
  <c r="F43" i="361" s="1"/>
  <c r="I186" i="330"/>
  <c r="J186" i="330" s="1"/>
  <c r="A6" i="272"/>
  <c r="A115" i="324"/>
  <c r="A7" i="324"/>
  <c r="A6" i="268"/>
  <c r="A6" i="323"/>
  <c r="A24" i="272"/>
  <c r="A24" i="268"/>
  <c r="A114" i="323"/>
  <c r="I16" i="323"/>
  <c r="J16" i="323"/>
  <c r="D20" i="272"/>
  <c r="F39" i="267"/>
  <c r="E216" i="323"/>
  <c r="E38" i="272"/>
  <c r="I105" i="242"/>
  <c r="G148" i="333"/>
  <c r="I149" i="333"/>
  <c r="J149" i="333"/>
  <c r="I121" i="333"/>
  <c r="J121" i="333" s="1"/>
  <c r="G214" i="330"/>
  <c r="G42" i="241"/>
  <c r="A180" i="323"/>
  <c r="A15" i="268"/>
  <c r="J59" i="325"/>
  <c r="C44" i="241"/>
  <c r="H17" i="180"/>
  <c r="I17" i="180"/>
  <c r="A106" i="324"/>
  <c r="A19" i="272"/>
  <c r="A214" i="324"/>
  <c r="A106" i="323"/>
  <c r="A9" i="268"/>
  <c r="A9" i="272"/>
  <c r="D38" i="242"/>
  <c r="I20" i="333"/>
  <c r="J20" i="333"/>
  <c r="I51" i="324"/>
  <c r="J51" i="324" s="1"/>
  <c r="C2" i="267"/>
  <c r="C2" i="173"/>
  <c r="D2" i="333"/>
  <c r="C77" i="172"/>
  <c r="J164" i="326"/>
  <c r="H163" i="326"/>
  <c r="I163" i="326" s="1"/>
  <c r="J60" i="326"/>
  <c r="I60" i="326"/>
  <c r="J157" i="335"/>
  <c r="I157" i="335"/>
  <c r="C2" i="335"/>
  <c r="C2" i="183"/>
  <c r="C2" i="268"/>
  <c r="D2" i="174"/>
  <c r="B2" i="180"/>
  <c r="B2" i="172"/>
  <c r="C2" i="269"/>
  <c r="B77" i="172"/>
  <c r="F16" i="359"/>
  <c r="E110" i="335"/>
  <c r="J85" i="323"/>
  <c r="I76" i="323"/>
  <c r="J76" i="323"/>
  <c r="C6" i="172"/>
  <c r="J121" i="330"/>
  <c r="H118" i="330"/>
  <c r="J103" i="330"/>
  <c r="J97" i="330"/>
  <c r="J156" i="242"/>
  <c r="A38" i="268"/>
  <c r="A216" i="323"/>
  <c r="A108" i="323"/>
  <c r="I61" i="325"/>
  <c r="J61" i="325"/>
  <c r="K110" i="335"/>
  <c r="I31" i="323"/>
  <c r="J31" i="323"/>
  <c r="I78" i="323"/>
  <c r="J78" i="323" s="1"/>
  <c r="G33" i="268"/>
  <c r="I121" i="330"/>
  <c r="E17" i="325"/>
  <c r="I119" i="325"/>
  <c r="C4" i="172"/>
  <c r="D200" i="323"/>
  <c r="D36" i="272" s="1"/>
  <c r="H51" i="174"/>
  <c r="I88" i="325"/>
  <c r="J88" i="325"/>
  <c r="H14" i="318"/>
  <c r="I7" i="318"/>
  <c r="J7" i="318" s="1"/>
  <c r="J126" i="326"/>
  <c r="I51" i="268"/>
  <c r="J51" i="268" s="1"/>
  <c r="F44" i="334"/>
  <c r="G44" i="334"/>
  <c r="I47" i="325"/>
  <c r="J47" i="325"/>
  <c r="I160" i="242"/>
  <c r="I17" i="330"/>
  <c r="J17" i="330" s="1"/>
  <c r="J126" i="242"/>
  <c r="I126" i="242"/>
  <c r="J141" i="326"/>
  <c r="J125" i="326"/>
  <c r="I131" i="330"/>
  <c r="J131" i="330" s="1"/>
  <c r="I66" i="325"/>
  <c r="J66" i="325"/>
  <c r="I14" i="330"/>
  <c r="J14" i="330" s="1"/>
  <c r="I155" i="326"/>
  <c r="J155" i="326" s="1"/>
  <c r="J211" i="324"/>
  <c r="D111" i="326"/>
  <c r="I209" i="324"/>
  <c r="F118" i="318"/>
  <c r="G130" i="325"/>
  <c r="I33" i="242"/>
  <c r="J33" i="242" s="1"/>
  <c r="I48" i="330"/>
  <c r="F87" i="330"/>
  <c r="F18" i="241" s="1"/>
  <c r="I81" i="330"/>
  <c r="J81" i="330"/>
  <c r="I43" i="330"/>
  <c r="I9" i="330"/>
  <c r="J9" i="330" s="1"/>
  <c r="J87" i="333"/>
  <c r="J41" i="318"/>
  <c r="I41" i="326"/>
  <c r="I29" i="333"/>
  <c r="J29" i="333"/>
  <c r="C92" i="323"/>
  <c r="C18" i="272" s="1"/>
  <c r="C7" i="324"/>
  <c r="I54" i="330"/>
  <c r="J54" i="330" s="1"/>
  <c r="I21" i="326"/>
  <c r="I44" i="268"/>
  <c r="J44" i="268" s="1"/>
  <c r="I206" i="324"/>
  <c r="J124" i="324"/>
  <c r="F54" i="318"/>
  <c r="E30" i="361"/>
  <c r="I18" i="323"/>
  <c r="I100" i="323"/>
  <c r="J100" i="323"/>
  <c r="J129" i="242"/>
  <c r="C38" i="335"/>
  <c r="I245" i="330"/>
  <c r="I238" i="330"/>
  <c r="I146" i="326"/>
  <c r="I145" i="333"/>
  <c r="J145" i="333" s="1"/>
  <c r="I62" i="333"/>
  <c r="J62" i="333"/>
  <c r="J61" i="333"/>
  <c r="C130" i="326"/>
  <c r="C45" i="335"/>
  <c r="I135" i="330"/>
  <c r="J135" i="330" s="1"/>
  <c r="I10" i="182"/>
  <c r="J10" i="182"/>
  <c r="J34" i="326"/>
  <c r="I123" i="335"/>
  <c r="J123" i="335" s="1"/>
  <c r="G114" i="335"/>
  <c r="G110" i="335"/>
  <c r="I101" i="335"/>
  <c r="J101" i="335" s="1"/>
  <c r="I101" i="324"/>
  <c r="C139" i="242"/>
  <c r="C137" i="242"/>
  <c r="I11" i="325"/>
  <c r="J11" i="325" s="1"/>
  <c r="I61" i="268"/>
  <c r="I46" i="182"/>
  <c r="E18" i="177"/>
  <c r="I176" i="324"/>
  <c r="F20" i="324"/>
  <c r="C171" i="330"/>
  <c r="C35" i="241"/>
  <c r="C44" i="178"/>
  <c r="B39" i="267" s="1"/>
  <c r="I39" i="182"/>
  <c r="J39" i="182"/>
  <c r="K37" i="177"/>
  <c r="J45" i="267"/>
  <c r="F28" i="177"/>
  <c r="E44" i="267"/>
  <c r="C27" i="326"/>
  <c r="G28" i="177"/>
  <c r="F44" i="267"/>
  <c r="J163" i="326"/>
  <c r="F7" i="268"/>
  <c r="H55" i="269"/>
  <c r="C49" i="330"/>
  <c r="C12" i="241"/>
  <c r="C45" i="241"/>
  <c r="G118" i="326"/>
  <c r="G117" i="326" s="1"/>
  <c r="G33" i="272"/>
  <c r="J151" i="335"/>
  <c r="C16" i="267"/>
  <c r="D48" i="182"/>
  <c r="C18" i="267" s="1"/>
  <c r="C15" i="267"/>
  <c r="J104" i="324"/>
  <c r="I104" i="324"/>
  <c r="I91" i="324"/>
  <c r="G89" i="324"/>
  <c r="K47" i="323"/>
  <c r="K10" i="272" s="1"/>
  <c r="K108" i="323"/>
  <c r="K20" i="272" s="1"/>
  <c r="F9" i="267"/>
  <c r="I39" i="325"/>
  <c r="J39" i="325"/>
  <c r="D75" i="323"/>
  <c r="D16" i="272" s="1"/>
  <c r="J162" i="330"/>
  <c r="I139" i="330"/>
  <c r="J139" i="330" s="1"/>
  <c r="H132" i="330"/>
  <c r="I145" i="323"/>
  <c r="J145" i="323" s="1"/>
  <c r="G51" i="323"/>
  <c r="G11" i="272"/>
  <c r="I110" i="323"/>
  <c r="J110" i="323" s="1"/>
  <c r="H108" i="323"/>
  <c r="I88" i="323"/>
  <c r="J88" i="323"/>
  <c r="G75" i="323"/>
  <c r="G16" i="272" s="1"/>
  <c r="I68" i="323"/>
  <c r="J68" i="323"/>
  <c r="H64" i="323"/>
  <c r="J141" i="242"/>
  <c r="I141" i="242"/>
  <c r="J108" i="242"/>
  <c r="I104" i="326"/>
  <c r="I179" i="323"/>
  <c r="J179" i="323" s="1"/>
  <c r="G63" i="242"/>
  <c r="J63" i="242"/>
  <c r="G103" i="242"/>
  <c r="I32" i="242"/>
  <c r="J32" i="242" s="1"/>
  <c r="H27" i="242"/>
  <c r="G108" i="330"/>
  <c r="G23" i="241" s="1"/>
  <c r="I110" i="330"/>
  <c r="J110" i="330" s="1"/>
  <c r="I102" i="330"/>
  <c r="J102" i="330"/>
  <c r="H100" i="330"/>
  <c r="H21" i="241" s="1"/>
  <c r="I80" i="330"/>
  <c r="J80" i="330" s="1"/>
  <c r="G76" i="330"/>
  <c r="I76" i="330" s="1"/>
  <c r="I31" i="330"/>
  <c r="J31" i="330" s="1"/>
  <c r="H29" i="272"/>
  <c r="H160" i="325"/>
  <c r="F38" i="242"/>
  <c r="I10" i="323"/>
  <c r="J10" i="323"/>
  <c r="J82" i="326"/>
  <c r="I82" i="326"/>
  <c r="I66" i="326"/>
  <c r="G63" i="326"/>
  <c r="C65" i="182"/>
  <c r="B5" i="361" s="1"/>
  <c r="C27" i="268"/>
  <c r="C166" i="324"/>
  <c r="C31" i="268" s="1"/>
  <c r="C183" i="324"/>
  <c r="C34" i="268" s="1"/>
  <c r="D47" i="174"/>
  <c r="B31" i="267"/>
  <c r="B33" i="267" s="1"/>
  <c r="E10" i="172"/>
  <c r="E18" i="180"/>
  <c r="C14" i="172"/>
  <c r="I40" i="333"/>
  <c r="J40" i="333"/>
  <c r="H38" i="333"/>
  <c r="H18" i="241"/>
  <c r="I125" i="333"/>
  <c r="J125" i="333" s="1"/>
  <c r="G118" i="333"/>
  <c r="G117" i="333" s="1"/>
  <c r="D34" i="318"/>
  <c r="C29" i="361" s="1"/>
  <c r="D22" i="241"/>
  <c r="E30" i="268"/>
  <c r="G45" i="333"/>
  <c r="E47" i="174"/>
  <c r="C31" i="267"/>
  <c r="J52" i="268"/>
  <c r="I52" i="268"/>
  <c r="E57" i="268"/>
  <c r="I163" i="324"/>
  <c r="J163" i="324"/>
  <c r="J139" i="324"/>
  <c r="I139" i="324"/>
  <c r="J120" i="324"/>
  <c r="I120" i="324"/>
  <c r="G92" i="324"/>
  <c r="I97" i="324"/>
  <c r="I84" i="325"/>
  <c r="J84" i="325" s="1"/>
  <c r="I167" i="326"/>
  <c r="H166" i="326"/>
  <c r="J167" i="326"/>
  <c r="K63" i="335"/>
  <c r="K40" i="177"/>
  <c r="E40" i="177"/>
  <c r="H40" i="177" s="1"/>
  <c r="F33" i="324"/>
  <c r="F9" i="268"/>
  <c r="F53" i="324"/>
  <c r="F12" i="268" s="1"/>
  <c r="F58" i="324"/>
  <c r="F13" i="268" s="1"/>
  <c r="F75" i="324"/>
  <c r="F16" i="268" s="1"/>
  <c r="H130" i="325"/>
  <c r="I130" i="325" s="1"/>
  <c r="E23" i="241"/>
  <c r="I36" i="323"/>
  <c r="J36" i="323" s="1"/>
  <c r="G33" i="323"/>
  <c r="G9" i="272" s="1"/>
  <c r="I17" i="323"/>
  <c r="J17" i="323" s="1"/>
  <c r="J16" i="182"/>
  <c r="H33" i="182"/>
  <c r="G11" i="267" s="1"/>
  <c r="J93" i="326"/>
  <c r="G14" i="267"/>
  <c r="G24" i="361"/>
  <c r="I40" i="182"/>
  <c r="H24" i="361" s="1"/>
  <c r="H16" i="173"/>
  <c r="G52" i="267" s="1"/>
  <c r="K10" i="173"/>
  <c r="F104" i="172" s="1"/>
  <c r="K9" i="173"/>
  <c r="E104" i="172"/>
  <c r="G36" i="241"/>
  <c r="E166" i="324"/>
  <c r="E31" i="268" s="1"/>
  <c r="I28" i="318"/>
  <c r="I22" i="318"/>
  <c r="J22" i="318"/>
  <c r="J42" i="318"/>
  <c r="F128" i="324"/>
  <c r="F25" i="268"/>
  <c r="F141" i="324"/>
  <c r="F27" i="268" s="1"/>
  <c r="F155" i="324"/>
  <c r="F166" i="324"/>
  <c r="F31" i="268" s="1"/>
  <c r="F183" i="324"/>
  <c r="F34" i="268"/>
  <c r="I146" i="330"/>
  <c r="J146" i="330"/>
  <c r="G32" i="241"/>
  <c r="I32" i="241" s="1"/>
  <c r="J32" i="241"/>
  <c r="G15" i="267"/>
  <c r="H35" i="361"/>
  <c r="J35" i="182"/>
  <c r="I35" i="361" s="1"/>
  <c r="D103" i="325"/>
  <c r="D2" i="178"/>
  <c r="A53" i="172"/>
  <c r="A104" i="172" s="1"/>
  <c r="D2" i="241"/>
  <c r="C2" i="317"/>
  <c r="C2" i="180"/>
  <c r="D2" i="269"/>
  <c r="C2" i="334"/>
  <c r="D2" i="272"/>
  <c r="D2" i="270"/>
  <c r="D2" i="177"/>
  <c r="D2" i="318"/>
  <c r="D2" i="324"/>
  <c r="D2" i="323"/>
  <c r="C2" i="175"/>
  <c r="D2" i="330"/>
  <c r="E51" i="174"/>
  <c r="E11" i="174" s="1"/>
  <c r="E38" i="174"/>
  <c r="C14" i="175"/>
  <c r="D10" i="330"/>
  <c r="D8" i="241"/>
  <c r="G26" i="361"/>
  <c r="G36" i="361"/>
  <c r="G13" i="267"/>
  <c r="H13" i="267" s="1"/>
  <c r="H48" i="182"/>
  <c r="I36" i="182"/>
  <c r="I38" i="318"/>
  <c r="J38" i="318"/>
  <c r="C24" i="268"/>
  <c r="F17" i="241"/>
  <c r="F16" i="241" s="1"/>
  <c r="D99" i="242"/>
  <c r="I79" i="325"/>
  <c r="J79" i="325"/>
  <c r="K76" i="325"/>
  <c r="K75" i="325" s="1"/>
  <c r="K63" i="326"/>
  <c r="D13" i="335"/>
  <c r="K17" i="335"/>
  <c r="F17" i="335"/>
  <c r="D114" i="242"/>
  <c r="K130" i="242"/>
  <c r="E139" i="242"/>
  <c r="E137" i="242" s="1"/>
  <c r="D21" i="175"/>
  <c r="J68" i="324"/>
  <c r="I68" i="324"/>
  <c r="J65" i="324"/>
  <c r="I65" i="324"/>
  <c r="C72" i="324"/>
  <c r="C15" i="268" s="1"/>
  <c r="G8" i="326"/>
  <c r="I8" i="326"/>
  <c r="J8" i="326"/>
  <c r="H33" i="361"/>
  <c r="I111" i="242"/>
  <c r="J111" i="242"/>
  <c r="F209" i="330"/>
  <c r="F41" i="241" s="1"/>
  <c r="F214" i="330"/>
  <c r="F42" i="241"/>
  <c r="D14" i="267"/>
  <c r="D24" i="361"/>
  <c r="K13" i="335"/>
  <c r="D103" i="242"/>
  <c r="J57" i="330"/>
  <c r="H55" i="330"/>
  <c r="H13" i="241" s="1"/>
  <c r="I51" i="330"/>
  <c r="J51" i="330"/>
  <c r="J170" i="323"/>
  <c r="H154" i="333"/>
  <c r="I154" i="333" s="1"/>
  <c r="J154" i="333" s="1"/>
  <c r="I155" i="333"/>
  <c r="J155" i="333" s="1"/>
  <c r="I201" i="323"/>
  <c r="J201" i="323" s="1"/>
  <c r="G57" i="268"/>
  <c r="I57" i="268"/>
  <c r="J57" i="268" s="1"/>
  <c r="I58" i="268"/>
  <c r="J58" i="268"/>
  <c r="F57" i="268"/>
  <c r="I178" i="324"/>
  <c r="G172" i="324"/>
  <c r="G32" i="268" s="1"/>
  <c r="J125" i="324"/>
  <c r="I125" i="324"/>
  <c r="I38" i="182"/>
  <c r="J38" i="182" s="1"/>
  <c r="I65" i="335"/>
  <c r="G63" i="325"/>
  <c r="E64" i="323"/>
  <c r="E14" i="272"/>
  <c r="I79" i="242"/>
  <c r="J79" i="242" s="1"/>
  <c r="I246" i="330"/>
  <c r="J246" i="330" s="1"/>
  <c r="I172" i="330"/>
  <c r="J172" i="330" s="1"/>
  <c r="H171" i="330"/>
  <c r="H35" i="241" s="1"/>
  <c r="J169" i="323"/>
  <c r="J122" i="242"/>
  <c r="I122" i="242"/>
  <c r="J31" i="326"/>
  <c r="I31" i="326"/>
  <c r="I18" i="326"/>
  <c r="J18" i="326"/>
  <c r="G140" i="333"/>
  <c r="G138" i="333" s="1"/>
  <c r="I77" i="335"/>
  <c r="J77" i="335"/>
  <c r="J46" i="335"/>
  <c r="I42" i="182"/>
  <c r="J42" i="182" s="1"/>
  <c r="I162" i="323"/>
  <c r="J162" i="323"/>
  <c r="F70" i="268"/>
  <c r="I49" i="268"/>
  <c r="J49" i="268"/>
  <c r="H180" i="324"/>
  <c r="H33" i="268" s="1"/>
  <c r="J182" i="324"/>
  <c r="D58" i="324"/>
  <c r="D13" i="268"/>
  <c r="D92" i="324"/>
  <c r="D18" i="268" s="1"/>
  <c r="H63" i="335"/>
  <c r="I170" i="333"/>
  <c r="J170" i="333"/>
  <c r="G166" i="333"/>
  <c r="K226" i="330"/>
  <c r="K45" i="241" s="1"/>
  <c r="E76" i="242"/>
  <c r="E99" i="242"/>
  <c r="F114" i="242"/>
  <c r="F110" i="242" s="1"/>
  <c r="I54" i="326"/>
  <c r="J54" i="326"/>
  <c r="I47" i="335"/>
  <c r="J47" i="335" s="1"/>
  <c r="J37" i="335"/>
  <c r="I37" i="335"/>
  <c r="I18" i="335"/>
  <c r="J18" i="335" s="1"/>
  <c r="G17" i="335"/>
  <c r="I186" i="323"/>
  <c r="J186" i="323"/>
  <c r="G183" i="323"/>
  <c r="G34" i="272" s="1"/>
  <c r="H128" i="323"/>
  <c r="H25" i="272" s="1"/>
  <c r="J123" i="323"/>
  <c r="D70" i="268"/>
  <c r="E54" i="174"/>
  <c r="D14" i="178"/>
  <c r="E52" i="174" s="1"/>
  <c r="E69" i="182"/>
  <c r="D9" i="267"/>
  <c r="J167" i="335"/>
  <c r="H166" i="335"/>
  <c r="I166" i="335" s="1"/>
  <c r="I54" i="325"/>
  <c r="J54" i="325" s="1"/>
  <c r="I55" i="325"/>
  <c r="J55" i="325" s="1"/>
  <c r="F27" i="326"/>
  <c r="F38" i="326"/>
  <c r="F7" i="326" s="1"/>
  <c r="I85" i="326"/>
  <c r="I78" i="326"/>
  <c r="J78" i="326"/>
  <c r="H76" i="326"/>
  <c r="D47" i="270"/>
  <c r="D8" i="269"/>
  <c r="I167" i="335"/>
  <c r="I51" i="182"/>
  <c r="J116" i="318"/>
  <c r="H118" i="318"/>
  <c r="I118" i="318" s="1"/>
  <c r="J118" i="318" s="1"/>
  <c r="G163" i="325"/>
  <c r="I163" i="325" s="1"/>
  <c r="F33" i="323"/>
  <c r="F9" i="272"/>
  <c r="K200" i="323"/>
  <c r="K36" i="272" s="1"/>
  <c r="I47" i="330"/>
  <c r="G27" i="330"/>
  <c r="H24" i="330"/>
  <c r="I157" i="323"/>
  <c r="G14" i="318"/>
  <c r="I8" i="318"/>
  <c r="J8" i="318" s="1"/>
  <c r="J62" i="268"/>
  <c r="D34" i="272"/>
  <c r="D113" i="330"/>
  <c r="I72" i="242"/>
  <c r="J72" i="242"/>
  <c r="I14" i="242"/>
  <c r="J14" i="242"/>
  <c r="I62" i="330"/>
  <c r="J62" i="330" s="1"/>
  <c r="J218" i="330"/>
  <c r="I218" i="330"/>
  <c r="J207" i="330"/>
  <c r="I207" i="330"/>
  <c r="J190" i="330"/>
  <c r="I141" i="335"/>
  <c r="G140" i="335"/>
  <c r="I95" i="335"/>
  <c r="J95" i="335"/>
  <c r="G38" i="335"/>
  <c r="I38" i="335" s="1"/>
  <c r="J38" i="335" s="1"/>
  <c r="I44" i="335"/>
  <c r="I9" i="335"/>
  <c r="J9" i="335"/>
  <c r="H8" i="335"/>
  <c r="I8" i="335" s="1"/>
  <c r="J8" i="335" s="1"/>
  <c r="F114" i="323"/>
  <c r="I217" i="323"/>
  <c r="J217" i="323"/>
  <c r="J211" i="323"/>
  <c r="I123" i="324"/>
  <c r="I48" i="324"/>
  <c r="J48" i="324" s="1"/>
  <c r="I41" i="324"/>
  <c r="J41" i="324"/>
  <c r="H33" i="324"/>
  <c r="H9" i="268"/>
  <c r="I21" i="324"/>
  <c r="K8" i="173"/>
  <c r="D104" i="172"/>
  <c r="F43" i="174"/>
  <c r="F58" i="174"/>
  <c r="G27" i="178"/>
  <c r="I106" i="242"/>
  <c r="J33" i="335"/>
  <c r="I33" i="335"/>
  <c r="G46" i="241"/>
  <c r="I46" i="241" s="1"/>
  <c r="J46" i="241" s="1"/>
  <c r="I65" i="333"/>
  <c r="J65" i="333" s="1"/>
  <c r="E48" i="182"/>
  <c r="D10" i="361" s="1"/>
  <c r="E47" i="270"/>
  <c r="E44" i="174"/>
  <c r="E7" i="174" s="1"/>
  <c r="H200" i="323"/>
  <c r="H36" i="272" s="1"/>
  <c r="H155" i="323"/>
  <c r="I135" i="242"/>
  <c r="G20" i="268"/>
  <c r="I40" i="323"/>
  <c r="J40" i="323" s="1"/>
  <c r="G165" i="242"/>
  <c r="I165" i="242" s="1"/>
  <c r="I166" i="242"/>
  <c r="H63" i="325"/>
  <c r="H135" i="325"/>
  <c r="I135" i="325" s="1"/>
  <c r="I164" i="325"/>
  <c r="E17" i="241"/>
  <c r="J21" i="242"/>
  <c r="I21" i="242"/>
  <c r="I46" i="242"/>
  <c r="J46" i="242" s="1"/>
  <c r="H45" i="242"/>
  <c r="I82" i="242"/>
  <c r="J82" i="242"/>
  <c r="I108" i="326"/>
  <c r="J108" i="326"/>
  <c r="I115" i="333"/>
  <c r="J115" i="333"/>
  <c r="G114" i="333"/>
  <c r="I15" i="333"/>
  <c r="J15" i="333" s="1"/>
  <c r="H13" i="333"/>
  <c r="I13" i="333"/>
  <c r="J13" i="333"/>
  <c r="I148" i="333"/>
  <c r="J148" i="333" s="1"/>
  <c r="A19" i="268"/>
  <c r="A37" i="268"/>
  <c r="A31" i="272"/>
  <c r="A13" i="268"/>
  <c r="I174" i="323"/>
  <c r="J174" i="323"/>
  <c r="I14" i="326"/>
  <c r="J14" i="326" s="1"/>
  <c r="I70" i="335"/>
  <c r="J70" i="335"/>
  <c r="G69" i="335"/>
  <c r="I42" i="335"/>
  <c r="J42" i="335" s="1"/>
  <c r="I20" i="335"/>
  <c r="J20" i="335"/>
  <c r="H17" i="335"/>
  <c r="I17" i="335" s="1"/>
  <c r="J17" i="335" s="1"/>
  <c r="G13" i="335"/>
  <c r="F172" i="323"/>
  <c r="F32" i="272" s="1"/>
  <c r="I192" i="324"/>
  <c r="J192" i="324"/>
  <c r="J187" i="324"/>
  <c r="C76" i="325"/>
  <c r="C75" i="325"/>
  <c r="F54" i="174"/>
  <c r="A35" i="272"/>
  <c r="D31" i="183"/>
  <c r="C2" i="330"/>
  <c r="C2" i="318"/>
  <c r="A15" i="175"/>
  <c r="C2" i="272"/>
  <c r="C2" i="181"/>
  <c r="C2" i="270"/>
  <c r="C2" i="324"/>
  <c r="C2" i="242"/>
  <c r="C3" i="334"/>
  <c r="A54" i="172"/>
  <c r="A103" i="172"/>
  <c r="E189" i="330"/>
  <c r="E38" i="241" s="1"/>
  <c r="J35" i="242"/>
  <c r="J83" i="330"/>
  <c r="G92" i="323"/>
  <c r="G18" i="272" s="1"/>
  <c r="I158" i="333"/>
  <c r="J158" i="333"/>
  <c r="H157" i="333"/>
  <c r="I157" i="333" s="1"/>
  <c r="J157" i="333" s="1"/>
  <c r="G111" i="333"/>
  <c r="G110" i="333" s="1"/>
  <c r="I113" i="333"/>
  <c r="J113" i="333"/>
  <c r="I37" i="333"/>
  <c r="J37" i="333"/>
  <c r="D200" i="324"/>
  <c r="D36" i="268" s="1"/>
  <c r="D34" i="268"/>
  <c r="D155" i="324"/>
  <c r="D28" i="268" s="1"/>
  <c r="D166" i="324"/>
  <c r="D31" i="268" s="1"/>
  <c r="C76" i="242"/>
  <c r="C75" i="242"/>
  <c r="K17" i="325"/>
  <c r="K45" i="242"/>
  <c r="K63" i="242"/>
  <c r="D45" i="242"/>
  <c r="E53" i="242"/>
  <c r="J96" i="330"/>
  <c r="H92" i="330"/>
  <c r="I162" i="330"/>
  <c r="I141" i="330"/>
  <c r="J141" i="330" s="1"/>
  <c r="G47" i="323"/>
  <c r="I48" i="323"/>
  <c r="J48" i="323" s="1"/>
  <c r="G6" i="323"/>
  <c r="I24" i="182"/>
  <c r="J24" i="182"/>
  <c r="J33" i="326"/>
  <c r="I33" i="326"/>
  <c r="J24" i="326"/>
  <c r="I68" i="333"/>
  <c r="J68" i="333" s="1"/>
  <c r="J195" i="324"/>
  <c r="I195" i="324"/>
  <c r="I44" i="182"/>
  <c r="J44" i="182"/>
  <c r="G118" i="325"/>
  <c r="G117" i="325" s="1"/>
  <c r="E8" i="326"/>
  <c r="F37" i="241"/>
  <c r="D55" i="330"/>
  <c r="D13" i="241" s="1"/>
  <c r="I19" i="242"/>
  <c r="H17" i="242"/>
  <c r="J79" i="330"/>
  <c r="I79" i="330"/>
  <c r="H76" i="330"/>
  <c r="J12" i="330"/>
  <c r="I216" i="330"/>
  <c r="J216" i="330" s="1"/>
  <c r="I100" i="326"/>
  <c r="J55" i="326"/>
  <c r="I55" i="326"/>
  <c r="J62" i="324"/>
  <c r="G28" i="324"/>
  <c r="G8" i="268"/>
  <c r="I8" i="268" s="1"/>
  <c r="J8" i="268" s="1"/>
  <c r="I22" i="324"/>
  <c r="J22" i="324"/>
  <c r="J10" i="324"/>
  <c r="C6" i="323"/>
  <c r="C13" i="326"/>
  <c r="C110" i="326"/>
  <c r="A159" i="323"/>
  <c r="A159" i="324"/>
  <c r="A51" i="324"/>
  <c r="A11" i="272"/>
  <c r="A51" i="323"/>
  <c r="A7" i="268"/>
  <c r="A128" i="323"/>
  <c r="C47" i="334"/>
  <c r="K130" i="333"/>
  <c r="D38" i="178"/>
  <c r="E48" i="174"/>
  <c r="E27" i="330"/>
  <c r="K76" i="330"/>
  <c r="K17" i="241" s="1"/>
  <c r="I138" i="330"/>
  <c r="J138" i="330" s="1"/>
  <c r="I81" i="323"/>
  <c r="J81" i="323"/>
  <c r="K180" i="324"/>
  <c r="K33" i="268" s="1"/>
  <c r="K166" i="324"/>
  <c r="K31" i="268"/>
  <c r="I165" i="324"/>
  <c r="J165" i="324" s="1"/>
  <c r="G161" i="324"/>
  <c r="J137" i="324"/>
  <c r="H136" i="324"/>
  <c r="H9" i="267"/>
  <c r="I9" i="267" s="1"/>
  <c r="I26" i="182"/>
  <c r="C34" i="318"/>
  <c r="B29" i="361" s="1"/>
  <c r="C76" i="335"/>
  <c r="I44" i="325"/>
  <c r="J44" i="325"/>
  <c r="G45" i="325"/>
  <c r="I45" i="325" s="1"/>
  <c r="J45" i="325" s="1"/>
  <c r="D209" i="330"/>
  <c r="D41" i="241" s="1"/>
  <c r="K197" i="323"/>
  <c r="K35" i="272"/>
  <c r="D92" i="330"/>
  <c r="D19" i="241"/>
  <c r="I11" i="323"/>
  <c r="J11" i="323"/>
  <c r="I103" i="323"/>
  <c r="J103" i="323" s="1"/>
  <c r="I133" i="242"/>
  <c r="J133" i="242"/>
  <c r="H130" i="242"/>
  <c r="J142" i="326"/>
  <c r="I142" i="326"/>
  <c r="H163" i="335"/>
  <c r="J164" i="335"/>
  <c r="C240" i="330"/>
  <c r="C48" i="241" s="1"/>
  <c r="D11" i="174"/>
  <c r="F69" i="325"/>
  <c r="F103" i="242"/>
  <c r="F113" i="330"/>
  <c r="F24" i="241"/>
  <c r="E118" i="330"/>
  <c r="E25" i="241" s="1"/>
  <c r="I208" i="330"/>
  <c r="I179" i="330"/>
  <c r="J79" i="326"/>
  <c r="I79" i="326"/>
  <c r="I125" i="323"/>
  <c r="J125" i="323"/>
  <c r="K12" i="173"/>
  <c r="H104" i="172" s="1"/>
  <c r="C180" i="324"/>
  <c r="C33" i="268"/>
  <c r="C57" i="268"/>
  <c r="C111" i="333"/>
  <c r="C110" i="333" s="1"/>
  <c r="C140" i="333"/>
  <c r="C138" i="333"/>
  <c r="Q21" i="317"/>
  <c r="Q32" i="317" s="1"/>
  <c r="A28" i="323"/>
  <c r="A28" i="324"/>
  <c r="F138" i="335"/>
  <c r="I52" i="330"/>
  <c r="J52" i="330" s="1"/>
  <c r="I44" i="330"/>
  <c r="J44" i="330" s="1"/>
  <c r="I37" i="330"/>
  <c r="I25" i="324"/>
  <c r="D33" i="182"/>
  <c r="D49" i="182" s="1"/>
  <c r="D52" i="182" s="1"/>
  <c r="D54" i="182" s="1"/>
  <c r="D57" i="182" s="1"/>
  <c r="D60" i="182" s="1"/>
  <c r="E60" i="174"/>
  <c r="C7" i="267"/>
  <c r="C161" i="323"/>
  <c r="C30" i="272" s="1"/>
  <c r="D47" i="323"/>
  <c r="D10" i="272" s="1"/>
  <c r="C21" i="175"/>
  <c r="K7" i="241"/>
  <c r="H129" i="330"/>
  <c r="H128" i="330" s="1"/>
  <c r="J201" i="330"/>
  <c r="H198" i="330"/>
  <c r="H40" i="241"/>
  <c r="I201" i="330"/>
  <c r="I39" i="323"/>
  <c r="J39" i="323"/>
  <c r="I90" i="333"/>
  <c r="J90" i="333" s="1"/>
  <c r="K53" i="324"/>
  <c r="F40" i="174"/>
  <c r="D12" i="267"/>
  <c r="C136" i="323"/>
  <c r="C26" i="272" s="1"/>
  <c r="B12" i="267"/>
  <c r="C200" i="324"/>
  <c r="C36" i="268" s="1"/>
  <c r="E186" i="330"/>
  <c r="E37" i="241"/>
  <c r="E161" i="323"/>
  <c r="E30" i="272"/>
  <c r="I30" i="330"/>
  <c r="I20" i="182"/>
  <c r="J20" i="182" s="1"/>
  <c r="I94" i="335"/>
  <c r="I205" i="323"/>
  <c r="J205" i="323"/>
  <c r="I61" i="324"/>
  <c r="I33" i="177"/>
  <c r="J33" i="177" s="1"/>
  <c r="K117" i="325"/>
  <c r="F28" i="323"/>
  <c r="F8" i="272" s="1"/>
  <c r="K128" i="323"/>
  <c r="F14" i="318"/>
  <c r="G64" i="330"/>
  <c r="I64" i="330" s="1"/>
  <c r="G14" i="241"/>
  <c r="I14" i="241" s="1"/>
  <c r="J14" i="241" s="1"/>
  <c r="I94" i="330"/>
  <c r="J82" i="323"/>
  <c r="I124" i="242"/>
  <c r="I25" i="325"/>
  <c r="J25" i="325" s="1"/>
  <c r="H58" i="324"/>
  <c r="J23" i="318"/>
  <c r="C103" i="333"/>
  <c r="C165" i="325"/>
  <c r="B12" i="100"/>
  <c r="O3" i="317" s="1"/>
  <c r="X38" i="329"/>
  <c r="E13" i="333"/>
  <c r="E138" i="333"/>
  <c r="I37" i="325"/>
  <c r="J37" i="325" s="1"/>
  <c r="D235" i="330"/>
  <c r="D47" i="241" s="1"/>
  <c r="G140" i="326"/>
  <c r="G138" i="326" s="1"/>
  <c r="H114" i="333"/>
  <c r="I114" i="333" s="1"/>
  <c r="J114" i="333" s="1"/>
  <c r="H111" i="333"/>
  <c r="D28" i="334"/>
  <c r="E132" i="330"/>
  <c r="E31" i="241"/>
  <c r="D92" i="323"/>
  <c r="D18" i="272"/>
  <c r="E108" i="323"/>
  <c r="E20" i="272" s="1"/>
  <c r="I15" i="330"/>
  <c r="J15" i="330" s="1"/>
  <c r="I42" i="318"/>
  <c r="C130" i="242"/>
  <c r="F45" i="333"/>
  <c r="F72" i="323"/>
  <c r="F15" i="272"/>
  <c r="H113" i="330"/>
  <c r="J26" i="335"/>
  <c r="I31" i="270"/>
  <c r="J31" i="270"/>
  <c r="E166" i="326"/>
  <c r="I73" i="325"/>
  <c r="J73" i="325"/>
  <c r="I143" i="325"/>
  <c r="E31" i="272"/>
  <c r="I23" i="330"/>
  <c r="J23" i="330" s="1"/>
  <c r="J224" i="330"/>
  <c r="I127" i="242"/>
  <c r="I152" i="324"/>
  <c r="J152" i="324"/>
  <c r="I24" i="242"/>
  <c r="J24" i="242"/>
  <c r="I61" i="330"/>
  <c r="I39" i="324"/>
  <c r="C7" i="330"/>
  <c r="C75" i="323"/>
  <c r="C16" i="272" s="1"/>
  <c r="C103" i="325"/>
  <c r="I14" i="175"/>
  <c r="H43" i="361" s="1"/>
  <c r="H50" i="267"/>
  <c r="K172" i="324"/>
  <c r="K32" i="268" s="1"/>
  <c r="E72" i="324"/>
  <c r="E15" i="268" s="1"/>
  <c r="I150" i="330"/>
  <c r="I86" i="323"/>
  <c r="J86" i="323" s="1"/>
  <c r="I17" i="182"/>
  <c r="J17" i="182" s="1"/>
  <c r="I26" i="326"/>
  <c r="G99" i="335"/>
  <c r="I12" i="318"/>
  <c r="J12" i="318" s="1"/>
  <c r="F35" i="272"/>
  <c r="J44" i="324"/>
  <c r="I25" i="242"/>
  <c r="J25" i="242" s="1"/>
  <c r="C70" i="268"/>
  <c r="I102" i="323"/>
  <c r="J102" i="323" s="1"/>
  <c r="I36" i="335"/>
  <c r="F28" i="268"/>
  <c r="K25" i="272"/>
  <c r="K30" i="241"/>
  <c r="K29" i="241" s="1"/>
  <c r="H20" i="272"/>
  <c r="H65" i="182"/>
  <c r="G5" i="361" s="1"/>
  <c r="E45" i="174"/>
  <c r="J134" i="242"/>
  <c r="I134" i="242"/>
  <c r="J166" i="335"/>
  <c r="H28" i="272"/>
  <c r="I28" i="272"/>
  <c r="J28" i="272"/>
  <c r="P61" i="317"/>
  <c r="H9" i="241"/>
  <c r="D27" i="361"/>
  <c r="H14" i="272"/>
  <c r="I28" i="324"/>
  <c r="J28" i="324"/>
  <c r="H26" i="272"/>
  <c r="F27" i="361"/>
  <c r="J166" i="326"/>
  <c r="D30" i="361"/>
  <c r="G6" i="272"/>
  <c r="E27" i="361"/>
  <c r="G18" i="268"/>
  <c r="H17" i="241"/>
  <c r="H16" i="241" s="1"/>
  <c r="H19" i="241"/>
  <c r="H75" i="330"/>
  <c r="D17" i="241"/>
  <c r="H13" i="268"/>
  <c r="J130" i="242"/>
  <c r="D74" i="268"/>
  <c r="C20" i="361" s="1"/>
  <c r="C29" i="267"/>
  <c r="J40" i="182"/>
  <c r="I24" i="361"/>
  <c r="K12" i="268"/>
  <c r="J63" i="335"/>
  <c r="I63" i="335"/>
  <c r="C29" i="172"/>
  <c r="C30" i="172"/>
  <c r="C31" i="172"/>
  <c r="E44" i="178"/>
  <c r="D39" i="267"/>
  <c r="F38" i="174"/>
  <c r="E44" i="317"/>
  <c r="E49" i="317" s="1"/>
  <c r="D21" i="317"/>
  <c r="D32" i="317" s="1"/>
  <c r="F40" i="267"/>
  <c r="G49" i="174"/>
  <c r="G10" i="174"/>
  <c r="J50" i="269"/>
  <c r="B29" i="267"/>
  <c r="C74" i="268"/>
  <c r="B20" i="361" s="1"/>
  <c r="D65" i="182"/>
  <c r="C5" i="361"/>
  <c r="C11" i="267"/>
  <c r="F189" i="330"/>
  <c r="F38" i="241" s="1"/>
  <c r="G26" i="175"/>
  <c r="G27" i="175" s="1"/>
  <c r="F50" i="267"/>
  <c r="H45" i="325"/>
  <c r="I46" i="325"/>
  <c r="J46" i="325"/>
  <c r="H25" i="241"/>
  <c r="G69" i="325"/>
  <c r="I69" i="325" s="1"/>
  <c r="J69" i="325" s="1"/>
  <c r="I31" i="183"/>
  <c r="J31" i="183" s="1"/>
  <c r="G24" i="268"/>
  <c r="F13" i="325"/>
  <c r="E8" i="325"/>
  <c r="E53" i="325"/>
  <c r="F17" i="325"/>
  <c r="D17" i="325"/>
  <c r="K27" i="325"/>
  <c r="D27" i="325"/>
  <c r="K24" i="272"/>
  <c r="F61" i="174"/>
  <c r="F48" i="174"/>
  <c r="E38" i="178"/>
  <c r="E16" i="269"/>
  <c r="E36" i="269" s="1"/>
  <c r="E57" i="269" s="1"/>
  <c r="E39" i="269"/>
  <c r="E55" i="269" s="1"/>
  <c r="D16" i="269"/>
  <c r="H39" i="174"/>
  <c r="H183" i="323"/>
  <c r="I183" i="323"/>
  <c r="J183" i="323" s="1"/>
  <c r="D110" i="326"/>
  <c r="H54" i="318"/>
  <c r="G13" i="272"/>
  <c r="H58" i="323"/>
  <c r="I58" i="323" s="1"/>
  <c r="K13" i="325"/>
  <c r="E118" i="326"/>
  <c r="E117" i="326"/>
  <c r="H75" i="326"/>
  <c r="H31" i="241"/>
  <c r="G130" i="326"/>
  <c r="K103" i="333"/>
  <c r="I173" i="324"/>
  <c r="J173" i="324" s="1"/>
  <c r="H172" i="324"/>
  <c r="I167" i="324"/>
  <c r="G166" i="324"/>
  <c r="J103" i="324"/>
  <c r="I103" i="324"/>
  <c r="I69" i="324"/>
  <c r="J69" i="324" s="1"/>
  <c r="H64" i="324"/>
  <c r="I56" i="324"/>
  <c r="G53" i="324"/>
  <c r="I49" i="324"/>
  <c r="G47" i="324"/>
  <c r="I37" i="324"/>
  <c r="G33" i="324"/>
  <c r="I26" i="324"/>
  <c r="G20" i="324"/>
  <c r="F92" i="324"/>
  <c r="F18" i="268" s="1"/>
  <c r="C149" i="330"/>
  <c r="G76" i="326"/>
  <c r="I76" i="326" s="1"/>
  <c r="J76" i="326" s="1"/>
  <c r="K92" i="330"/>
  <c r="K19" i="241"/>
  <c r="I33" i="323"/>
  <c r="J33" i="323" s="1"/>
  <c r="F99" i="333"/>
  <c r="F75" i="333"/>
  <c r="G129" i="330"/>
  <c r="I130" i="330"/>
  <c r="J130" i="330"/>
  <c r="I227" i="330"/>
  <c r="G226" i="330"/>
  <c r="H51" i="323"/>
  <c r="I52" i="323"/>
  <c r="J52" i="323"/>
  <c r="I142" i="242"/>
  <c r="J142" i="242"/>
  <c r="H47" i="268"/>
  <c r="I48" i="268"/>
  <c r="J48" i="268"/>
  <c r="K18" i="177"/>
  <c r="F8" i="269"/>
  <c r="F16" i="269"/>
  <c r="F36" i="269" s="1"/>
  <c r="F39" i="269"/>
  <c r="F55" i="269" s="1"/>
  <c r="J69" i="326"/>
  <c r="I99" i="326"/>
  <c r="J99" i="326"/>
  <c r="B47" i="100"/>
  <c r="O2" i="317"/>
  <c r="J194" i="330"/>
  <c r="I194" i="330"/>
  <c r="I215" i="323"/>
  <c r="H214" i="323"/>
  <c r="J215" i="323"/>
  <c r="I203" i="323"/>
  <c r="J203" i="323" s="1"/>
  <c r="G200" i="323"/>
  <c r="G43" i="267"/>
  <c r="I180" i="324"/>
  <c r="I33" i="268"/>
  <c r="C7" i="241"/>
  <c r="E128" i="330"/>
  <c r="G104" i="330"/>
  <c r="I105" i="330"/>
  <c r="J105" i="330" s="1"/>
  <c r="I122" i="330"/>
  <c r="J122" i="330"/>
  <c r="H108" i="330"/>
  <c r="I112" i="330"/>
  <c r="J112" i="330"/>
  <c r="H104" i="330"/>
  <c r="G149" i="330"/>
  <c r="I159" i="330"/>
  <c r="H27" i="330"/>
  <c r="C38" i="326"/>
  <c r="C53" i="326"/>
  <c r="G17" i="241"/>
  <c r="G87" i="330"/>
  <c r="I88" i="330"/>
  <c r="I11" i="330"/>
  <c r="J11" i="330"/>
  <c r="G10" i="330"/>
  <c r="G6" i="330" s="1"/>
  <c r="J33" i="268"/>
  <c r="C6" i="272"/>
  <c r="G17" i="326"/>
  <c r="I17" i="326"/>
  <c r="J17" i="326" s="1"/>
  <c r="K76" i="335"/>
  <c r="F76" i="335"/>
  <c r="F99" i="335"/>
  <c r="F75" i="335"/>
  <c r="K117" i="335"/>
  <c r="G69" i="242"/>
  <c r="I70" i="242"/>
  <c r="J70" i="242" s="1"/>
  <c r="H53" i="242"/>
  <c r="I53" i="242" s="1"/>
  <c r="J53" i="242" s="1"/>
  <c r="I56" i="242"/>
  <c r="J56" i="242"/>
  <c r="G17" i="242"/>
  <c r="I22" i="242"/>
  <c r="D140" i="326"/>
  <c r="D138" i="326" s="1"/>
  <c r="N34" i="317"/>
  <c r="O44" i="317"/>
  <c r="O61" i="317" s="1"/>
  <c r="E26" i="330"/>
  <c r="K48" i="182"/>
  <c r="G160" i="325"/>
  <c r="I160" i="325" s="1"/>
  <c r="K22" i="241"/>
  <c r="G9" i="241"/>
  <c r="I9" i="241" s="1"/>
  <c r="J9" i="241" s="1"/>
  <c r="I24" i="330"/>
  <c r="J24" i="330" s="1"/>
  <c r="H53" i="323"/>
  <c r="I54" i="323"/>
  <c r="J54" i="323" s="1"/>
  <c r="J107" i="326"/>
  <c r="I107" i="326"/>
  <c r="G42" i="361"/>
  <c r="I161" i="324"/>
  <c r="I30" i="268" s="1"/>
  <c r="J30" i="268" s="1"/>
  <c r="G30" i="268"/>
  <c r="J16" i="173"/>
  <c r="F24" i="272"/>
  <c r="H42" i="174"/>
  <c r="D33" i="267"/>
  <c r="I214" i="330"/>
  <c r="J214" i="330" s="1"/>
  <c r="H42" i="241"/>
  <c r="E99" i="326"/>
  <c r="K118" i="326"/>
  <c r="K117" i="326" s="1"/>
  <c r="F8" i="335"/>
  <c r="E14" i="175"/>
  <c r="K5" i="175"/>
  <c r="L18" i="175"/>
  <c r="L19" i="175"/>
  <c r="L20" i="175"/>
  <c r="L21" i="175"/>
  <c r="F21" i="175"/>
  <c r="J148" i="335"/>
  <c r="I148" i="335"/>
  <c r="J141" i="335"/>
  <c r="H140" i="335"/>
  <c r="I195" i="323"/>
  <c r="J195" i="323"/>
  <c r="I176" i="323"/>
  <c r="J176" i="323" s="1"/>
  <c r="H172" i="323"/>
  <c r="I172" i="323" s="1"/>
  <c r="I163" i="323"/>
  <c r="J163" i="323" s="1"/>
  <c r="G161" i="323"/>
  <c r="G70" i="268"/>
  <c r="I67" i="268"/>
  <c r="J67" i="268"/>
  <c r="K33" i="324"/>
  <c r="K9" i="268" s="1"/>
  <c r="K75" i="324"/>
  <c r="K16" i="268" s="1"/>
  <c r="J189" i="324"/>
  <c r="I189" i="324"/>
  <c r="J215" i="324"/>
  <c r="H214" i="324"/>
  <c r="I204" i="324"/>
  <c r="G200" i="324"/>
  <c r="H183" i="324"/>
  <c r="K17" i="175"/>
  <c r="B50" i="267"/>
  <c r="B43" i="361"/>
  <c r="C26" i="175"/>
  <c r="C27" i="175" s="1"/>
  <c r="B53" i="172"/>
  <c r="H31" i="268"/>
  <c r="G40" i="241"/>
  <c r="I215" i="324"/>
  <c r="I112" i="325"/>
  <c r="H111" i="325"/>
  <c r="I161" i="325"/>
  <c r="K128" i="330"/>
  <c r="I55" i="335"/>
  <c r="G53" i="335"/>
  <c r="I108" i="335"/>
  <c r="H103" i="335"/>
  <c r="J108" i="335"/>
  <c r="I49" i="335"/>
  <c r="J49" i="335"/>
  <c r="H45" i="335"/>
  <c r="G45" i="335"/>
  <c r="G76" i="335"/>
  <c r="G75" i="335" s="1"/>
  <c r="G103" i="335"/>
  <c r="G118" i="335"/>
  <c r="G117" i="335"/>
  <c r="G138" i="335"/>
  <c r="I46" i="335"/>
  <c r="I40" i="335"/>
  <c r="J40" i="335"/>
  <c r="H38" i="335"/>
  <c r="H89" i="324"/>
  <c r="I90" i="324"/>
  <c r="I184" i="324"/>
  <c r="G183" i="324"/>
  <c r="E43" i="267"/>
  <c r="N6" i="317"/>
  <c r="I198" i="330"/>
  <c r="J198" i="330" s="1"/>
  <c r="I33" i="361"/>
  <c r="I63" i="326"/>
  <c r="I108" i="330"/>
  <c r="J108" i="330" s="1"/>
  <c r="A72" i="323"/>
  <c r="I240" i="330"/>
  <c r="J240" i="330" s="1"/>
  <c r="H28" i="268"/>
  <c r="I155" i="324"/>
  <c r="I28" i="268" s="1"/>
  <c r="D17" i="326"/>
  <c r="D53" i="326"/>
  <c r="D103" i="326"/>
  <c r="E27" i="326"/>
  <c r="E114" i="323"/>
  <c r="D114" i="323"/>
  <c r="E128" i="323"/>
  <c r="E25" i="272" s="1"/>
  <c r="H8" i="325"/>
  <c r="I9" i="325"/>
  <c r="J9" i="325"/>
  <c r="I120" i="335"/>
  <c r="K74" i="268"/>
  <c r="J20" i="361" s="1"/>
  <c r="J29" i="267"/>
  <c r="J33" i="267"/>
  <c r="E64" i="324"/>
  <c r="E14" i="268"/>
  <c r="B7" i="267"/>
  <c r="D60" i="174"/>
  <c r="G10" i="272"/>
  <c r="H10" i="272"/>
  <c r="I10" i="272" s="1"/>
  <c r="J10" i="272" s="1"/>
  <c r="I47" i="323"/>
  <c r="J47" i="323" s="1"/>
  <c r="K27" i="333"/>
  <c r="K38" i="333"/>
  <c r="D37" i="270"/>
  <c r="K6" i="272"/>
  <c r="K33" i="323"/>
  <c r="K53" i="323"/>
  <c r="K12" i="272"/>
  <c r="K64" i="323"/>
  <c r="K14" i="272"/>
  <c r="K92" i="323"/>
  <c r="K18" i="272" s="1"/>
  <c r="C28" i="334"/>
  <c r="C49" i="334"/>
  <c r="F8" i="334"/>
  <c r="J114" i="326"/>
  <c r="H110" i="326"/>
  <c r="I174" i="324"/>
  <c r="J174" i="324"/>
  <c r="E16" i="173"/>
  <c r="H53" i="172"/>
  <c r="I166" i="326"/>
  <c r="J71" i="325"/>
  <c r="D7" i="267"/>
  <c r="F60" i="174"/>
  <c r="E33" i="182"/>
  <c r="F118" i="335"/>
  <c r="F117" i="335" s="1"/>
  <c r="J127" i="326"/>
  <c r="I127" i="326"/>
  <c r="H118" i="326"/>
  <c r="I39" i="333"/>
  <c r="J39" i="333"/>
  <c r="G38" i="333"/>
  <c r="I38" i="333" s="1"/>
  <c r="J38" i="333" s="1"/>
  <c r="I154" i="323"/>
  <c r="J154" i="323" s="1"/>
  <c r="I139" i="323"/>
  <c r="J139" i="323"/>
  <c r="G136" i="323"/>
  <c r="I136" i="323" s="1"/>
  <c r="G63" i="174"/>
  <c r="G18" i="174" s="1"/>
  <c r="F26" i="178"/>
  <c r="J36" i="182"/>
  <c r="I26" i="361" s="1"/>
  <c r="H36" i="361"/>
  <c r="H38" i="361"/>
  <c r="H26" i="361"/>
  <c r="G53" i="333"/>
  <c r="E30" i="241"/>
  <c r="E29" i="241" s="1"/>
  <c r="K110" i="242"/>
  <c r="D77" i="318"/>
  <c r="D118" i="318"/>
  <c r="I60" i="325"/>
  <c r="J60" i="325" s="1"/>
  <c r="H53" i="325"/>
  <c r="F64" i="323"/>
  <c r="F14" i="272"/>
  <c r="M14" i="175"/>
  <c r="K43" i="361"/>
  <c r="J14" i="175"/>
  <c r="F27" i="330"/>
  <c r="H149" i="330"/>
  <c r="J151" i="330"/>
  <c r="I142" i="330"/>
  <c r="J142" i="330" s="1"/>
  <c r="I133" i="330"/>
  <c r="J133" i="330" s="1"/>
  <c r="G132" i="330"/>
  <c r="J238" i="330"/>
  <c r="H235" i="330"/>
  <c r="I231" i="330"/>
  <c r="J231" i="330" s="1"/>
  <c r="H230" i="330"/>
  <c r="I211" i="330"/>
  <c r="J211" i="330" s="1"/>
  <c r="J196" i="330"/>
  <c r="I196" i="330"/>
  <c r="H161" i="323"/>
  <c r="I164" i="323"/>
  <c r="J164" i="323"/>
  <c r="G20" i="323"/>
  <c r="I8" i="323"/>
  <c r="J8" i="323" s="1"/>
  <c r="H6" i="323"/>
  <c r="J87" i="323"/>
  <c r="I84" i="323"/>
  <c r="J84" i="323" s="1"/>
  <c r="H75" i="323"/>
  <c r="I63" i="323"/>
  <c r="J63" i="323" s="1"/>
  <c r="G130" i="242"/>
  <c r="I130" i="242" s="1"/>
  <c r="I131" i="242"/>
  <c r="J127" i="242"/>
  <c r="H118" i="242"/>
  <c r="J143" i="326"/>
  <c r="I143" i="326"/>
  <c r="I131" i="326"/>
  <c r="G76" i="333"/>
  <c r="I18" i="325"/>
  <c r="G17" i="325"/>
  <c r="G53" i="325"/>
  <c r="I15" i="325"/>
  <c r="J15" i="325" s="1"/>
  <c r="H13" i="325"/>
  <c r="I178" i="323"/>
  <c r="J178" i="323"/>
  <c r="H166" i="323"/>
  <c r="G159" i="323"/>
  <c r="I160" i="323"/>
  <c r="J160" i="323" s="1"/>
  <c r="G141" i="323"/>
  <c r="C46" i="241"/>
  <c r="H16" i="269"/>
  <c r="I155" i="323"/>
  <c r="J155" i="323" s="1"/>
  <c r="H49" i="182"/>
  <c r="C75" i="330"/>
  <c r="I151" i="330"/>
  <c r="I158" i="326"/>
  <c r="H103" i="326"/>
  <c r="C37" i="270"/>
  <c r="C61" i="270"/>
  <c r="A45" i="269"/>
  <c r="E222" i="330"/>
  <c r="E221" i="330" s="1"/>
  <c r="D6" i="323"/>
  <c r="D53" i="323"/>
  <c r="D12" i="272" s="1"/>
  <c r="K8" i="175"/>
  <c r="H14" i="175"/>
  <c r="K11" i="175"/>
  <c r="E10" i="330"/>
  <c r="K10" i="330"/>
  <c r="I171" i="330"/>
  <c r="G35" i="241"/>
  <c r="I35" i="241" s="1"/>
  <c r="J35" i="241" s="1"/>
  <c r="I101" i="242"/>
  <c r="J101" i="242"/>
  <c r="H99" i="242"/>
  <c r="J158" i="326"/>
  <c r="H157" i="326"/>
  <c r="I58" i="326"/>
  <c r="J58" i="326"/>
  <c r="I22" i="333"/>
  <c r="J22" i="333" s="1"/>
  <c r="H17" i="333"/>
  <c r="I78" i="333"/>
  <c r="H76" i="333"/>
  <c r="J78" i="333"/>
  <c r="C10" i="330"/>
  <c r="C8" i="241"/>
  <c r="C16" i="241"/>
  <c r="H8" i="269"/>
  <c r="D26" i="178"/>
  <c r="D27" i="178"/>
  <c r="C36" i="267"/>
  <c r="A31" i="334"/>
  <c r="A39" i="269"/>
  <c r="E11" i="241"/>
  <c r="E10" i="241" s="1"/>
  <c r="I22" i="323"/>
  <c r="J22" i="323" s="1"/>
  <c r="A15" i="272"/>
  <c r="A33" i="268"/>
  <c r="A33" i="272"/>
  <c r="A180" i="324"/>
  <c r="E209" i="330"/>
  <c r="E41" i="241" s="1"/>
  <c r="F21" i="241"/>
  <c r="F104" i="330"/>
  <c r="F22" i="241"/>
  <c r="F20" i="241"/>
  <c r="G55" i="330"/>
  <c r="I55" i="330" s="1"/>
  <c r="J55" i="330" s="1"/>
  <c r="I57" i="330"/>
  <c r="I195" i="330"/>
  <c r="J195" i="330"/>
  <c r="H153" i="242"/>
  <c r="I154" i="242"/>
  <c r="J154" i="242"/>
  <c r="I32" i="333"/>
  <c r="J32" i="333" s="1"/>
  <c r="H27" i="333"/>
  <c r="E74" i="268"/>
  <c r="D20" i="361"/>
  <c r="A64" i="324"/>
  <c r="A32" i="268"/>
  <c r="A32" i="272"/>
  <c r="A14" i="272"/>
  <c r="D132" i="330"/>
  <c r="D31" i="241" s="1"/>
  <c r="D110" i="335"/>
  <c r="F10" i="330"/>
  <c r="F8" i="241" s="1"/>
  <c r="I108" i="242"/>
  <c r="H103" i="242"/>
  <c r="I95" i="333"/>
  <c r="J95" i="333"/>
  <c r="I168" i="323"/>
  <c r="J168" i="323" s="1"/>
  <c r="G45" i="267"/>
  <c r="K6" i="173"/>
  <c r="C16" i="173"/>
  <c r="J64" i="330"/>
  <c r="I41" i="335"/>
  <c r="J37" i="177"/>
  <c r="A20" i="268"/>
  <c r="A108" i="324"/>
  <c r="A38" i="272"/>
  <c r="A216" i="324"/>
  <c r="E31" i="334"/>
  <c r="E47" i="334" s="1"/>
  <c r="D49" i="181"/>
  <c r="D52" i="181" s="1"/>
  <c r="D54" i="181" s="1"/>
  <c r="F17" i="333"/>
  <c r="D103" i="333"/>
  <c r="D45" i="325"/>
  <c r="K17" i="326"/>
  <c r="E33" i="323"/>
  <c r="E9" i="272"/>
  <c r="K172" i="323"/>
  <c r="K32" i="272" s="1"/>
  <c r="K183" i="323"/>
  <c r="K34" i="272"/>
  <c r="K108" i="330"/>
  <c r="K23" i="241" s="1"/>
  <c r="I96" i="326"/>
  <c r="J96" i="326"/>
  <c r="G75" i="326"/>
  <c r="G130" i="333"/>
  <c r="I131" i="333"/>
  <c r="J131" i="333" s="1"/>
  <c r="E75" i="324"/>
  <c r="E16" i="268"/>
  <c r="D33" i="324"/>
  <c r="D9" i="268"/>
  <c r="F16" i="173"/>
  <c r="E52" i="267" s="1"/>
  <c r="G16" i="270"/>
  <c r="H16" i="270"/>
  <c r="J36" i="267"/>
  <c r="H52" i="174"/>
  <c r="C47" i="268"/>
  <c r="C38" i="242"/>
  <c r="D36" i="269"/>
  <c r="F75" i="330"/>
  <c r="H114" i="242"/>
  <c r="H110" i="242" s="1"/>
  <c r="A27" i="268"/>
  <c r="A27" i="272"/>
  <c r="F130" i="326"/>
  <c r="F30" i="241"/>
  <c r="F29" i="241" s="1"/>
  <c r="F132" i="330"/>
  <c r="F128" i="330" s="1"/>
  <c r="F31" i="241"/>
  <c r="J116" i="242"/>
  <c r="I116" i="242"/>
  <c r="I105" i="326"/>
  <c r="G103" i="326"/>
  <c r="I103" i="326" s="1"/>
  <c r="I154" i="326"/>
  <c r="J154" i="326"/>
  <c r="J90" i="326"/>
  <c r="I90" i="326"/>
  <c r="J21" i="326"/>
  <c r="F33" i="182"/>
  <c r="H216" i="323"/>
  <c r="I218" i="323"/>
  <c r="J218" i="323" s="1"/>
  <c r="J185" i="323"/>
  <c r="C132" i="330"/>
  <c r="C128" i="330" s="1"/>
  <c r="J32" i="326"/>
  <c r="G140" i="325"/>
  <c r="J76" i="330"/>
  <c r="H76" i="242"/>
  <c r="H33" i="272"/>
  <c r="J180" i="323"/>
  <c r="H13" i="335"/>
  <c r="A31" i="268"/>
  <c r="A166" i="324"/>
  <c r="E49" i="334"/>
  <c r="H49" i="181"/>
  <c r="H52" i="181" s="1"/>
  <c r="H54" i="181" s="1"/>
  <c r="I48" i="181"/>
  <c r="J48" i="181" s="1"/>
  <c r="K38" i="325"/>
  <c r="F63" i="325"/>
  <c r="H103" i="325"/>
  <c r="I103" i="325"/>
  <c r="J103" i="325" s="1"/>
  <c r="G154" i="325"/>
  <c r="I154" i="325"/>
  <c r="I155" i="325"/>
  <c r="F103" i="326"/>
  <c r="E4" i="172"/>
  <c r="C18" i="180"/>
  <c r="J7" i="180" s="1"/>
  <c r="J6" i="180"/>
  <c r="E198" i="330"/>
  <c r="E183" i="323"/>
  <c r="E34" i="272"/>
  <c r="E17" i="242"/>
  <c r="F27" i="242"/>
  <c r="K19" i="175"/>
  <c r="C80" i="172"/>
  <c r="B80" i="172"/>
  <c r="N21" i="175"/>
  <c r="E104" i="330"/>
  <c r="I42" i="242"/>
  <c r="H38" i="242"/>
  <c r="G113" i="330"/>
  <c r="I117" i="330"/>
  <c r="J117" i="330"/>
  <c r="J19" i="182"/>
  <c r="I19" i="182"/>
  <c r="I95" i="326"/>
  <c r="J95" i="326"/>
  <c r="I70" i="326"/>
  <c r="G38" i="326"/>
  <c r="K183" i="324"/>
  <c r="K34" i="268" s="1"/>
  <c r="J147" i="324"/>
  <c r="I147" i="324"/>
  <c r="F64" i="324"/>
  <c r="F14" i="268"/>
  <c r="E115" i="324"/>
  <c r="I42" i="241"/>
  <c r="J42" i="241"/>
  <c r="I33" i="181"/>
  <c r="J33" i="181"/>
  <c r="G49" i="181"/>
  <c r="G52" i="181" s="1"/>
  <c r="I52" i="181" s="1"/>
  <c r="E27" i="335"/>
  <c r="D103" i="335"/>
  <c r="D14" i="175"/>
  <c r="H106" i="323"/>
  <c r="J107" i="323"/>
  <c r="I67" i="333"/>
  <c r="J67" i="333"/>
  <c r="H63" i="333"/>
  <c r="G16" i="269"/>
  <c r="H27" i="335"/>
  <c r="H76" i="325"/>
  <c r="B27" i="361"/>
  <c r="E12" i="172"/>
  <c r="A33" i="323"/>
  <c r="J80" i="335"/>
  <c r="F31" i="334"/>
  <c r="E11" i="172"/>
  <c r="D230" i="330"/>
  <c r="D46" i="241"/>
  <c r="K103" i="335"/>
  <c r="D118" i="242"/>
  <c r="D117" i="242" s="1"/>
  <c r="K10" i="175"/>
  <c r="J97" i="323"/>
  <c r="J106" i="326"/>
  <c r="I106" i="326"/>
  <c r="J102" i="326"/>
  <c r="I102" i="326"/>
  <c r="I40" i="326"/>
  <c r="J40" i="326"/>
  <c r="H13" i="326"/>
  <c r="I15" i="326"/>
  <c r="J15" i="326"/>
  <c r="I100" i="333"/>
  <c r="J100" i="333"/>
  <c r="H99" i="333"/>
  <c r="E141" i="324"/>
  <c r="E27" i="268"/>
  <c r="E92" i="324"/>
  <c r="E18" i="268" s="1"/>
  <c r="I18" i="318"/>
  <c r="J18" i="318"/>
  <c r="G34" i="318"/>
  <c r="G42" i="174"/>
  <c r="F15" i="267"/>
  <c r="H15" i="267"/>
  <c r="I41" i="182"/>
  <c r="J41" i="182"/>
  <c r="I47" i="318"/>
  <c r="J47" i="318" s="1"/>
  <c r="G54" i="318"/>
  <c r="I45" i="318"/>
  <c r="J45" i="318"/>
  <c r="I15" i="182"/>
  <c r="J15" i="182" s="1"/>
  <c r="K16" i="269"/>
  <c r="K36" i="269"/>
  <c r="D47" i="334"/>
  <c r="D49" i="334"/>
  <c r="C141" i="323"/>
  <c r="C27" i="272" s="1"/>
  <c r="D58" i="174"/>
  <c r="C18" i="177"/>
  <c r="I6" i="323"/>
  <c r="J6" i="323"/>
  <c r="C40" i="267"/>
  <c r="E49" i="174"/>
  <c r="E10" i="174"/>
  <c r="H226" i="330"/>
  <c r="H221" i="330" s="1"/>
  <c r="I221" i="330" s="1"/>
  <c r="J221" i="330" s="1"/>
  <c r="J16" i="180"/>
  <c r="H16" i="180"/>
  <c r="B38" i="172"/>
  <c r="E8" i="242"/>
  <c r="L6" i="175"/>
  <c r="L7" i="175"/>
  <c r="L8" i="175"/>
  <c r="I53" i="323"/>
  <c r="J53" i="323" s="1"/>
  <c r="G12" i="272"/>
  <c r="J115" i="326"/>
  <c r="I115" i="326"/>
  <c r="I19" i="325"/>
  <c r="J19" i="325" s="1"/>
  <c r="H17" i="325"/>
  <c r="H111" i="335"/>
  <c r="J113" i="335"/>
  <c r="J54" i="335"/>
  <c r="I54" i="335"/>
  <c r="H53" i="335"/>
  <c r="G61" i="174"/>
  <c r="F38" i="178"/>
  <c r="J69" i="268"/>
  <c r="I69" i="268"/>
  <c r="H70" i="268"/>
  <c r="J74" i="324"/>
  <c r="H72" i="324"/>
  <c r="H15" i="268" s="1"/>
  <c r="J15" i="268" s="1"/>
  <c r="H53" i="324"/>
  <c r="H75" i="324"/>
  <c r="I75" i="324" s="1"/>
  <c r="J75" i="324" s="1"/>
  <c r="H92" i="324"/>
  <c r="J55" i="324"/>
  <c r="I55" i="324"/>
  <c r="D20" i="324"/>
  <c r="D7" i="268"/>
  <c r="H50" i="174"/>
  <c r="H11" i="174" s="1"/>
  <c r="G51" i="178"/>
  <c r="H92" i="323"/>
  <c r="G166" i="323"/>
  <c r="A141" i="323"/>
  <c r="A64" i="323"/>
  <c r="I56" i="326"/>
  <c r="G64" i="324"/>
  <c r="I64" i="324" s="1"/>
  <c r="J64" i="324" s="1"/>
  <c r="F118" i="333"/>
  <c r="F117" i="333" s="1"/>
  <c r="I51" i="325"/>
  <c r="J51" i="325" s="1"/>
  <c r="E76" i="325"/>
  <c r="E114" i="325"/>
  <c r="E110" i="325" s="1"/>
  <c r="E69" i="326"/>
  <c r="F118" i="326"/>
  <c r="F117" i="326"/>
  <c r="D30" i="241"/>
  <c r="D29" i="241" s="1"/>
  <c r="D128" i="323"/>
  <c r="D25" i="272"/>
  <c r="E155" i="323"/>
  <c r="E28" i="272" s="1"/>
  <c r="E38" i="335"/>
  <c r="F67" i="330"/>
  <c r="F15" i="241"/>
  <c r="I150" i="323"/>
  <c r="I129" i="323"/>
  <c r="J129" i="323" s="1"/>
  <c r="G128" i="323"/>
  <c r="G219" i="323" s="1"/>
  <c r="F9" i="361" s="1"/>
  <c r="G197" i="323"/>
  <c r="C37" i="267"/>
  <c r="E61" i="174"/>
  <c r="K57" i="268"/>
  <c r="K47" i="268"/>
  <c r="K63" i="268"/>
  <c r="J19" i="361" s="1"/>
  <c r="H53" i="268"/>
  <c r="F200" i="324"/>
  <c r="F36" i="268"/>
  <c r="J44" i="318"/>
  <c r="C128" i="323"/>
  <c r="E75" i="242"/>
  <c r="J171" i="330"/>
  <c r="D110" i="242"/>
  <c r="H189" i="330"/>
  <c r="I45" i="333"/>
  <c r="J45" i="333"/>
  <c r="A16" i="272"/>
  <c r="I151" i="242"/>
  <c r="J151" i="242" s="1"/>
  <c r="G47" i="174"/>
  <c r="I162" i="242"/>
  <c r="F13" i="333"/>
  <c r="E8" i="333"/>
  <c r="K69" i="325"/>
  <c r="E17" i="326"/>
  <c r="D64" i="100"/>
  <c r="A1" i="251"/>
  <c r="E6" i="172"/>
  <c r="K171" i="330"/>
  <c r="E141" i="323"/>
  <c r="E27" i="272" s="1"/>
  <c r="K118" i="242"/>
  <c r="K117" i="242" s="1"/>
  <c r="K139" i="242"/>
  <c r="K137" i="242" s="1"/>
  <c r="J34" i="242"/>
  <c r="J145" i="326"/>
  <c r="I145" i="326"/>
  <c r="I57" i="333"/>
  <c r="J57" i="333" s="1"/>
  <c r="H53" i="333"/>
  <c r="I53" i="333"/>
  <c r="J53" i="333" s="1"/>
  <c r="G17" i="333"/>
  <c r="G69" i="333"/>
  <c r="J161" i="335"/>
  <c r="H160" i="335"/>
  <c r="C63" i="325"/>
  <c r="I20" i="268"/>
  <c r="J20" i="268"/>
  <c r="G33" i="182"/>
  <c r="I114" i="335"/>
  <c r="J114" i="335"/>
  <c r="I62" i="335"/>
  <c r="K118" i="318"/>
  <c r="K49" i="181"/>
  <c r="K52" i="181" s="1"/>
  <c r="K54" i="181" s="1"/>
  <c r="E76" i="333"/>
  <c r="E75" i="333"/>
  <c r="F140" i="333"/>
  <c r="F138" i="333" s="1"/>
  <c r="E99" i="325"/>
  <c r="E75" i="325" s="1"/>
  <c r="I116" i="325"/>
  <c r="K149" i="330"/>
  <c r="E214" i="330"/>
  <c r="E42" i="241"/>
  <c r="E240" i="330"/>
  <c r="E48" i="241" s="1"/>
  <c r="D216" i="323"/>
  <c r="D38" i="272" s="1"/>
  <c r="E17" i="335"/>
  <c r="D76" i="335"/>
  <c r="D75" i="335" s="1"/>
  <c r="D69" i="242"/>
  <c r="K18" i="175"/>
  <c r="C79" i="172"/>
  <c r="B79" i="172" s="1"/>
  <c r="J199" i="323"/>
  <c r="H139" i="242"/>
  <c r="I139" i="242" s="1"/>
  <c r="I140" i="242"/>
  <c r="I16" i="326"/>
  <c r="J16" i="326"/>
  <c r="G47" i="268"/>
  <c r="I47" i="268"/>
  <c r="E47" i="268"/>
  <c r="E63" i="268" s="1"/>
  <c r="G216" i="324"/>
  <c r="I216" i="324" s="1"/>
  <c r="I217" i="324"/>
  <c r="J11" i="324"/>
  <c r="I11" i="324"/>
  <c r="F7" i="324"/>
  <c r="D161" i="324"/>
  <c r="D30" i="268"/>
  <c r="C99" i="335"/>
  <c r="C75" i="335" s="1"/>
  <c r="F38" i="361"/>
  <c r="H67" i="330"/>
  <c r="I67" i="330" s="1"/>
  <c r="E118" i="325"/>
  <c r="E117" i="325" s="1"/>
  <c r="F45" i="326"/>
  <c r="H6" i="180"/>
  <c r="I6" i="180"/>
  <c r="B28" i="172"/>
  <c r="D20" i="323"/>
  <c r="D7" i="272" s="1"/>
  <c r="D161" i="323"/>
  <c r="D30" i="272"/>
  <c r="D172" i="323"/>
  <c r="D32" i="272"/>
  <c r="F76" i="242"/>
  <c r="F75" i="242"/>
  <c r="K76" i="242"/>
  <c r="K75" i="242" s="1"/>
  <c r="D27" i="330"/>
  <c r="H130" i="335"/>
  <c r="J102" i="335"/>
  <c r="I102" i="335"/>
  <c r="H69" i="335"/>
  <c r="J34" i="335"/>
  <c r="I55" i="268"/>
  <c r="J55" i="268" s="1"/>
  <c r="G53" i="268"/>
  <c r="C64" i="323"/>
  <c r="C14" i="272"/>
  <c r="C118" i="242"/>
  <c r="C117" i="242"/>
  <c r="C76" i="326"/>
  <c r="C75" i="326" s="1"/>
  <c r="N18" i="317"/>
  <c r="A75" i="323"/>
  <c r="A34" i="272"/>
  <c r="A183" i="324"/>
  <c r="A16" i="268"/>
  <c r="B4" i="100"/>
  <c r="B2" i="100"/>
  <c r="B14" i="100"/>
  <c r="Q3" i="317"/>
  <c r="B13" i="100"/>
  <c r="P3" i="317" s="1"/>
  <c r="F53" i="325"/>
  <c r="I101" i="325"/>
  <c r="J101" i="325" s="1"/>
  <c r="H99" i="325"/>
  <c r="I99" i="325" s="1"/>
  <c r="J99" i="325"/>
  <c r="I106" i="325"/>
  <c r="J106" i="325"/>
  <c r="E226" i="330"/>
  <c r="E45" i="241" s="1"/>
  <c r="D33" i="323"/>
  <c r="D9" i="272" s="1"/>
  <c r="M21" i="175"/>
  <c r="J173" i="330"/>
  <c r="I173" i="330"/>
  <c r="I127" i="324"/>
  <c r="J127" i="324"/>
  <c r="I129" i="335"/>
  <c r="J129" i="335"/>
  <c r="J188" i="323"/>
  <c r="K197" i="324"/>
  <c r="K35" i="268"/>
  <c r="C72" i="323"/>
  <c r="C15" i="272"/>
  <c r="N8" i="317"/>
  <c r="O21" i="317"/>
  <c r="O32" i="317"/>
  <c r="I49" i="325"/>
  <c r="J49" i="325" s="1"/>
  <c r="F69" i="326"/>
  <c r="F63" i="326"/>
  <c r="F198" i="330"/>
  <c r="F6" i="323"/>
  <c r="F110" i="335"/>
  <c r="I21" i="175"/>
  <c r="I26" i="175"/>
  <c r="I27" i="175"/>
  <c r="I236" i="330"/>
  <c r="J236" i="330"/>
  <c r="J157" i="323"/>
  <c r="J18" i="182"/>
  <c r="G99" i="242"/>
  <c r="G114" i="326"/>
  <c r="I114" i="326" s="1"/>
  <c r="I107" i="333"/>
  <c r="J107" i="333" s="1"/>
  <c r="H103" i="333"/>
  <c r="I103" i="333"/>
  <c r="J103" i="333" s="1"/>
  <c r="I72" i="333"/>
  <c r="J72" i="333"/>
  <c r="I69" i="333"/>
  <c r="J69" i="333"/>
  <c r="I100" i="335"/>
  <c r="H99" i="335"/>
  <c r="H75" i="335" s="1"/>
  <c r="I127" i="323"/>
  <c r="J127" i="323"/>
  <c r="J116" i="323"/>
  <c r="H28" i="177"/>
  <c r="J22" i="177"/>
  <c r="E16" i="270"/>
  <c r="E37" i="270" s="1"/>
  <c r="E61" i="270" s="1"/>
  <c r="I10" i="270"/>
  <c r="J10" i="270" s="1"/>
  <c r="G8" i="270"/>
  <c r="I17" i="270"/>
  <c r="J17" i="270"/>
  <c r="K8" i="270"/>
  <c r="K16" i="270"/>
  <c r="K37" i="270"/>
  <c r="K69" i="182"/>
  <c r="H57" i="174"/>
  <c r="I33" i="269"/>
  <c r="J33" i="269"/>
  <c r="D76" i="325"/>
  <c r="D99" i="325"/>
  <c r="D75" i="325"/>
  <c r="I95" i="325"/>
  <c r="J95" i="325" s="1"/>
  <c r="E8" i="172"/>
  <c r="E6" i="323"/>
  <c r="D136" i="323"/>
  <c r="D26" i="272"/>
  <c r="D166" i="323"/>
  <c r="D31" i="272"/>
  <c r="D130" i="242"/>
  <c r="K118" i="330"/>
  <c r="K25" i="241" s="1"/>
  <c r="I53" i="330"/>
  <c r="J53" i="330" s="1"/>
  <c r="I210" i="330"/>
  <c r="J210" i="330"/>
  <c r="G209" i="330"/>
  <c r="G197" i="330"/>
  <c r="I77" i="323"/>
  <c r="J77" i="323" s="1"/>
  <c r="I65" i="323"/>
  <c r="J65" i="323"/>
  <c r="G64" i="323"/>
  <c r="I125" i="242"/>
  <c r="J125" i="242"/>
  <c r="H140" i="326"/>
  <c r="I141" i="326"/>
  <c r="I106" i="335"/>
  <c r="J106" i="335"/>
  <c r="I121" i="323"/>
  <c r="J121" i="323" s="1"/>
  <c r="E53" i="268"/>
  <c r="D53" i="268"/>
  <c r="D115" i="324"/>
  <c r="J26" i="361"/>
  <c r="J13" i="267"/>
  <c r="J36" i="361"/>
  <c r="C69" i="333"/>
  <c r="C8" i="335"/>
  <c r="C140" i="335"/>
  <c r="C138" i="335" s="1"/>
  <c r="D222" i="330"/>
  <c r="F63" i="242"/>
  <c r="J206" i="330"/>
  <c r="J160" i="324"/>
  <c r="J35" i="361"/>
  <c r="J12" i="267"/>
  <c r="E16" i="267"/>
  <c r="F8" i="267"/>
  <c r="H8" i="267"/>
  <c r="I8" i="267"/>
  <c r="G235" i="330"/>
  <c r="H159" i="324"/>
  <c r="I159" i="324" s="1"/>
  <c r="I160" i="326"/>
  <c r="A155" i="324"/>
  <c r="A155" i="323"/>
  <c r="A10" i="272"/>
  <c r="D13" i="325"/>
  <c r="I33" i="325"/>
  <c r="J33" i="325" s="1"/>
  <c r="D38" i="325"/>
  <c r="G76" i="325"/>
  <c r="I76" i="325" s="1"/>
  <c r="J76" i="325" s="1"/>
  <c r="E63" i="335"/>
  <c r="D118" i="335"/>
  <c r="D117" i="335" s="1"/>
  <c r="K53" i="242"/>
  <c r="G108" i="323"/>
  <c r="I109" i="323"/>
  <c r="J109" i="323"/>
  <c r="I32" i="182"/>
  <c r="G139" i="242"/>
  <c r="G137" i="242"/>
  <c r="F43" i="268"/>
  <c r="I193" i="324"/>
  <c r="I168" i="324"/>
  <c r="J168" i="324"/>
  <c r="I138" i="324"/>
  <c r="J138" i="324"/>
  <c r="E7" i="324"/>
  <c r="D54" i="318"/>
  <c r="C30" i="361" s="1"/>
  <c r="C32" i="361" s="1"/>
  <c r="I11" i="177"/>
  <c r="J11" i="177" s="1"/>
  <c r="M44" i="317"/>
  <c r="M49" i="317"/>
  <c r="A37" i="272"/>
  <c r="A214" i="323"/>
  <c r="A8" i="272"/>
  <c r="A26" i="268"/>
  <c r="A136" i="323"/>
  <c r="A136" i="324"/>
  <c r="I170" i="335"/>
  <c r="J170" i="335"/>
  <c r="D76" i="333"/>
  <c r="D75" i="333" s="1"/>
  <c r="K8" i="325"/>
  <c r="H38" i="325"/>
  <c r="I38" i="325" s="1"/>
  <c r="J38" i="325" s="1"/>
  <c r="H151" i="325"/>
  <c r="I151" i="325"/>
  <c r="I152" i="325"/>
  <c r="C2" i="333"/>
  <c r="C2" i="323"/>
  <c r="C2" i="326"/>
  <c r="E7" i="172"/>
  <c r="E72" i="323"/>
  <c r="E15" i="272" s="1"/>
  <c r="E21" i="272" s="1"/>
  <c r="E92" i="323"/>
  <c r="E18" i="272"/>
  <c r="K136" i="323"/>
  <c r="K26" i="272"/>
  <c r="D27" i="242"/>
  <c r="F45" i="242"/>
  <c r="K9" i="175"/>
  <c r="H69" i="242"/>
  <c r="I65" i="242"/>
  <c r="J65" i="242"/>
  <c r="G45" i="242"/>
  <c r="I45" i="242"/>
  <c r="J45" i="242" s="1"/>
  <c r="I39" i="242"/>
  <c r="J39" i="242"/>
  <c r="I32" i="330"/>
  <c r="J32" i="330"/>
  <c r="I176" i="330"/>
  <c r="J176" i="330" s="1"/>
  <c r="J48" i="326"/>
  <c r="I48" i="326"/>
  <c r="I21" i="325"/>
  <c r="J21" i="325" s="1"/>
  <c r="J124" i="335"/>
  <c r="I124" i="335"/>
  <c r="J190" i="323"/>
  <c r="I100" i="324"/>
  <c r="I17" i="324"/>
  <c r="E128" i="324"/>
  <c r="E25" i="268" s="1"/>
  <c r="J24" i="318"/>
  <c r="C128" i="324"/>
  <c r="C197" i="324"/>
  <c r="C35" i="268" s="1"/>
  <c r="G40" i="270"/>
  <c r="H40" i="270"/>
  <c r="I40" i="270" s="1"/>
  <c r="J40" i="270" s="1"/>
  <c r="I56" i="270"/>
  <c r="J56" i="270" s="1"/>
  <c r="I84" i="330"/>
  <c r="J84" i="330" s="1"/>
  <c r="I228" i="330"/>
  <c r="J228" i="330" s="1"/>
  <c r="I181" i="323"/>
  <c r="J181" i="323"/>
  <c r="I17" i="272"/>
  <c r="J17" i="272" s="1"/>
  <c r="I18" i="333"/>
  <c r="J18" i="333"/>
  <c r="I139" i="335"/>
  <c r="F128" i="323"/>
  <c r="F25" i="272"/>
  <c r="H197" i="324"/>
  <c r="J197" i="324" s="1"/>
  <c r="J153" i="324"/>
  <c r="I153" i="324"/>
  <c r="C27" i="330"/>
  <c r="E51" i="178"/>
  <c r="F49" i="174" s="1"/>
  <c r="F10" i="174" s="1"/>
  <c r="K21" i="317"/>
  <c r="K32" i="317"/>
  <c r="D114" i="333"/>
  <c r="K111" i="325"/>
  <c r="K110" i="325" s="1"/>
  <c r="K33" i="182"/>
  <c r="F27" i="335"/>
  <c r="F139" i="242"/>
  <c r="F137" i="242" s="1"/>
  <c r="D18" i="177"/>
  <c r="C43" i="267" s="1"/>
  <c r="J227" i="330"/>
  <c r="I124" i="326"/>
  <c r="H53" i="326"/>
  <c r="J173" i="323"/>
  <c r="I137" i="323"/>
  <c r="J137" i="323"/>
  <c r="F53" i="268"/>
  <c r="I188" i="324"/>
  <c r="I133" i="324"/>
  <c r="G58" i="324"/>
  <c r="G7" i="324"/>
  <c r="F172" i="324"/>
  <c r="F32" i="268" s="1"/>
  <c r="F115" i="324"/>
  <c r="D7" i="324"/>
  <c r="K11" i="173"/>
  <c r="G104" i="172"/>
  <c r="C13" i="333"/>
  <c r="C14" i="178"/>
  <c r="D52" i="174" s="1"/>
  <c r="C51" i="178"/>
  <c r="B40" i="267" s="1"/>
  <c r="D189" i="330"/>
  <c r="D38" i="241"/>
  <c r="E89" i="323"/>
  <c r="E17" i="272"/>
  <c r="K8" i="242"/>
  <c r="K7" i="242" s="1"/>
  <c r="K172" i="242" s="1"/>
  <c r="F17" i="242"/>
  <c r="F7" i="242" s="1"/>
  <c r="I31" i="242"/>
  <c r="J31" i="242" s="1"/>
  <c r="I51" i="242"/>
  <c r="J51" i="242" s="1"/>
  <c r="G92" i="330"/>
  <c r="I92" i="330" s="1"/>
  <c r="J77" i="330"/>
  <c r="H209" i="330"/>
  <c r="H197" i="330" s="1"/>
  <c r="J83" i="323"/>
  <c r="I147" i="242"/>
  <c r="J147" i="242"/>
  <c r="I133" i="326"/>
  <c r="I101" i="326"/>
  <c r="J101" i="326"/>
  <c r="G45" i="326"/>
  <c r="H140" i="333"/>
  <c r="H130" i="333"/>
  <c r="I132" i="333"/>
  <c r="J132" i="333" s="1"/>
  <c r="H118" i="333"/>
  <c r="H117" i="333" s="1"/>
  <c r="I117" i="333" s="1"/>
  <c r="J117" i="333" s="1"/>
  <c r="J127" i="335"/>
  <c r="I127" i="335"/>
  <c r="H118" i="335"/>
  <c r="I118" i="335" s="1"/>
  <c r="J120" i="335"/>
  <c r="I59" i="335"/>
  <c r="J59" i="335"/>
  <c r="J119" i="323"/>
  <c r="K128" i="324"/>
  <c r="J158" i="324"/>
  <c r="E28" i="324"/>
  <c r="E8" i="268" s="1"/>
  <c r="I43" i="318"/>
  <c r="J43" i="318" s="1"/>
  <c r="C17" i="335"/>
  <c r="F140" i="325"/>
  <c r="F138" i="325"/>
  <c r="H157" i="325"/>
  <c r="I157" i="325" s="1"/>
  <c r="I158" i="325"/>
  <c r="K8" i="326"/>
  <c r="K177" i="330"/>
  <c r="K36" i="241" s="1"/>
  <c r="K8" i="335"/>
  <c r="F53" i="335"/>
  <c r="F7" i="335" s="1"/>
  <c r="K99" i="335"/>
  <c r="K75" i="335" s="1"/>
  <c r="D139" i="242"/>
  <c r="D137" i="242" s="1"/>
  <c r="E7" i="330"/>
  <c r="K67" i="330"/>
  <c r="K15" i="241" s="1"/>
  <c r="I119" i="330"/>
  <c r="G118" i="330"/>
  <c r="G25" i="241" s="1"/>
  <c r="I25" i="241" s="1"/>
  <c r="J25" i="241" s="1"/>
  <c r="I160" i="330"/>
  <c r="J233" i="330"/>
  <c r="G222" i="330"/>
  <c r="J42" i="323"/>
  <c r="I96" i="242"/>
  <c r="I152" i="326"/>
  <c r="J152" i="326"/>
  <c r="I39" i="326"/>
  <c r="J39" i="326" s="1"/>
  <c r="H38" i="326"/>
  <c r="I38" i="326" s="1"/>
  <c r="G13" i="326"/>
  <c r="J61" i="268"/>
  <c r="I190" i="324"/>
  <c r="I179" i="324"/>
  <c r="J179" i="324" s="1"/>
  <c r="I74" i="324"/>
  <c r="G72" i="324"/>
  <c r="G15" i="268" s="1"/>
  <c r="D108" i="324"/>
  <c r="D20" i="268" s="1"/>
  <c r="I16" i="173"/>
  <c r="H52" i="267" s="1"/>
  <c r="C58" i="324"/>
  <c r="C13" i="268"/>
  <c r="C155" i="324"/>
  <c r="C28" i="268"/>
  <c r="C26" i="178"/>
  <c r="B37" i="267" s="1"/>
  <c r="E14" i="178"/>
  <c r="F52" i="174" s="1"/>
  <c r="F13" i="174" s="1"/>
  <c r="F27" i="325"/>
  <c r="F7" i="325" s="1"/>
  <c r="I77" i="325"/>
  <c r="J77" i="325"/>
  <c r="I129" i="325"/>
  <c r="K198" i="330"/>
  <c r="K40" i="241" s="1"/>
  <c r="E230" i="330"/>
  <c r="E46" i="241" s="1"/>
  <c r="E69" i="335"/>
  <c r="E7" i="335" s="1"/>
  <c r="D17" i="242"/>
  <c r="I98" i="242"/>
  <c r="I105" i="333"/>
  <c r="J105" i="333"/>
  <c r="F17" i="267"/>
  <c r="H17" i="267" s="1"/>
  <c r="I17" i="267" s="1"/>
  <c r="I43" i="182"/>
  <c r="J43" i="182"/>
  <c r="J52" i="318"/>
  <c r="K7" i="173"/>
  <c r="C104" i="172" s="1"/>
  <c r="C17" i="333"/>
  <c r="E26" i="178"/>
  <c r="D37" i="267" s="1"/>
  <c r="A89" i="323"/>
  <c r="A197" i="324"/>
  <c r="D140" i="325"/>
  <c r="D138" i="325"/>
  <c r="D226" i="330"/>
  <c r="D45" i="241" s="1"/>
  <c r="K240" i="330"/>
  <c r="K48" i="241" s="1"/>
  <c r="F63" i="335"/>
  <c r="D63" i="335"/>
  <c r="I57" i="242"/>
  <c r="J57" i="242" s="1"/>
  <c r="J163" i="330"/>
  <c r="I45" i="323"/>
  <c r="J45" i="323"/>
  <c r="I9" i="323"/>
  <c r="J9" i="323"/>
  <c r="I56" i="323"/>
  <c r="J56" i="323"/>
  <c r="H114" i="323"/>
  <c r="I114" i="323" s="1"/>
  <c r="J114" i="323" s="1"/>
  <c r="J116" i="324"/>
  <c r="H115" i="324"/>
  <c r="J115" i="324" s="1"/>
  <c r="E58" i="324"/>
  <c r="E13" i="268"/>
  <c r="E33" i="324"/>
  <c r="E111" i="324" s="1"/>
  <c r="E9" i="268"/>
  <c r="E20" i="324"/>
  <c r="E7" i="268" s="1"/>
  <c r="E21" i="268" s="1"/>
  <c r="G33" i="361"/>
  <c r="G35" i="361"/>
  <c r="G38" i="361" s="1"/>
  <c r="D16" i="173"/>
  <c r="C42" i="361" s="1"/>
  <c r="C172" i="323"/>
  <c r="C32" i="272"/>
  <c r="C69" i="325"/>
  <c r="C118" i="325"/>
  <c r="C117" i="325" s="1"/>
  <c r="C38" i="178"/>
  <c r="D111" i="333"/>
  <c r="D110" i="333"/>
  <c r="D214" i="330"/>
  <c r="D42" i="241" s="1"/>
  <c r="F20" i="323"/>
  <c r="F7" i="272" s="1"/>
  <c r="E8" i="335"/>
  <c r="D8" i="242"/>
  <c r="I150" i="242"/>
  <c r="J150" i="242" s="1"/>
  <c r="I128" i="333"/>
  <c r="I29" i="335"/>
  <c r="F216" i="323"/>
  <c r="F38" i="272" s="1"/>
  <c r="I171" i="323"/>
  <c r="J171" i="323"/>
  <c r="I186" i="324"/>
  <c r="G16" i="173"/>
  <c r="E8" i="270"/>
  <c r="C103" i="242"/>
  <c r="K45" i="326"/>
  <c r="E118" i="242"/>
  <c r="E117" i="242"/>
  <c r="D7" i="330"/>
  <c r="D7" i="241" s="1"/>
  <c r="I77" i="242"/>
  <c r="J77" i="242" s="1"/>
  <c r="J21" i="330"/>
  <c r="J101" i="323"/>
  <c r="I91" i="326"/>
  <c r="I16" i="325"/>
  <c r="J130" i="323"/>
  <c r="I60" i="268"/>
  <c r="J60" i="268"/>
  <c r="I149" i="324"/>
  <c r="F37" i="177"/>
  <c r="E45" i="267" s="1"/>
  <c r="F161" i="323"/>
  <c r="F30" i="272" s="1"/>
  <c r="E43" i="268"/>
  <c r="I118" i="324"/>
  <c r="E183" i="324"/>
  <c r="E34" i="268" s="1"/>
  <c r="C198" i="330"/>
  <c r="E40" i="270"/>
  <c r="E59" i="270" s="1"/>
  <c r="N27" i="317"/>
  <c r="F69" i="335"/>
  <c r="E27" i="242"/>
  <c r="J46" i="323"/>
  <c r="I62" i="326"/>
  <c r="G99" i="333"/>
  <c r="I31" i="335"/>
  <c r="C209" i="330"/>
  <c r="C41" i="241"/>
  <c r="I37" i="182"/>
  <c r="J37" i="182"/>
  <c r="I13" i="177"/>
  <c r="J13" i="177"/>
  <c r="I171" i="324"/>
  <c r="G38" i="178"/>
  <c r="G138" i="325"/>
  <c r="C11" i="241"/>
  <c r="I17" i="325"/>
  <c r="J17" i="325" s="1"/>
  <c r="G121" i="318"/>
  <c r="F29" i="361"/>
  <c r="G56" i="318"/>
  <c r="F47" i="334"/>
  <c r="G47" i="334" s="1"/>
  <c r="G31" i="334"/>
  <c r="H45" i="267"/>
  <c r="I45" i="267"/>
  <c r="H52" i="182"/>
  <c r="H117" i="242"/>
  <c r="F27" i="178"/>
  <c r="F37" i="267"/>
  <c r="I183" i="324"/>
  <c r="I34" i="268" s="1"/>
  <c r="G34" i="268"/>
  <c r="G39" i="268" s="1"/>
  <c r="G30" i="241"/>
  <c r="G128" i="330"/>
  <c r="I129" i="330"/>
  <c r="J129" i="330"/>
  <c r="E7" i="241"/>
  <c r="F24" i="268"/>
  <c r="F6" i="268"/>
  <c r="G20" i="272"/>
  <c r="I20" i="272" s="1"/>
  <c r="J20" i="272"/>
  <c r="I108" i="323"/>
  <c r="J108" i="323"/>
  <c r="H74" i="268"/>
  <c r="G29" i="267"/>
  <c r="G33" i="267" s="1"/>
  <c r="I70" i="268"/>
  <c r="J70" i="268" s="1"/>
  <c r="E39" i="174"/>
  <c r="D6" i="272"/>
  <c r="D24" i="272"/>
  <c r="D39" i="272" s="1"/>
  <c r="G7" i="272"/>
  <c r="E40" i="241"/>
  <c r="E39" i="241" s="1"/>
  <c r="E44" i="241"/>
  <c r="H138" i="335"/>
  <c r="I140" i="335"/>
  <c r="J140" i="335"/>
  <c r="H45" i="174"/>
  <c r="J10" i="361"/>
  <c r="G12" i="268"/>
  <c r="H24" i="268"/>
  <c r="J24" i="268" s="1"/>
  <c r="I115" i="324"/>
  <c r="H45" i="241"/>
  <c r="E11" i="267"/>
  <c r="F65" i="182"/>
  <c r="E5" i="361" s="1"/>
  <c r="F99" i="330"/>
  <c r="H36" i="269"/>
  <c r="H57" i="269" s="1"/>
  <c r="I13" i="325"/>
  <c r="J13" i="325" s="1"/>
  <c r="J136" i="323"/>
  <c r="G26" i="272"/>
  <c r="I26" i="272"/>
  <c r="J26" i="272" s="1"/>
  <c r="D52" i="267"/>
  <c r="D42" i="361"/>
  <c r="I200" i="323"/>
  <c r="J200" i="323"/>
  <c r="G36" i="272"/>
  <c r="I36" i="272" s="1"/>
  <c r="J36" i="272" s="1"/>
  <c r="G30" i="361"/>
  <c r="H14" i="268"/>
  <c r="H219" i="323"/>
  <c r="H24" i="272"/>
  <c r="H38" i="241"/>
  <c r="I38" i="241"/>
  <c r="J38" i="241" s="1"/>
  <c r="H35" i="268"/>
  <c r="J35" i="268" s="1"/>
  <c r="H29" i="268"/>
  <c r="J40" i="267"/>
  <c r="H49" i="174"/>
  <c r="H53" i="174"/>
  <c r="H13" i="174"/>
  <c r="I103" i="242"/>
  <c r="J103" i="242"/>
  <c r="I53" i="325"/>
  <c r="J53" i="325"/>
  <c r="O49" i="317"/>
  <c r="O50" i="317" s="1"/>
  <c r="O62" i="317" s="1"/>
  <c r="G148" i="330"/>
  <c r="G34" i="241"/>
  <c r="H13" i="272"/>
  <c r="I13" i="272"/>
  <c r="J13" i="272" s="1"/>
  <c r="H117" i="335"/>
  <c r="I29" i="268"/>
  <c r="I235" i="330"/>
  <c r="J235" i="330" s="1"/>
  <c r="G47" i="241"/>
  <c r="I197" i="323"/>
  <c r="J197" i="323"/>
  <c r="G35" i="272"/>
  <c r="I35" i="272" s="1"/>
  <c r="J35" i="272" s="1"/>
  <c r="H7" i="242"/>
  <c r="B29" i="172"/>
  <c r="H7" i="180"/>
  <c r="I7" i="180"/>
  <c r="J155" i="324"/>
  <c r="H34" i="268"/>
  <c r="J34" i="268" s="1"/>
  <c r="J183" i="324"/>
  <c r="H12" i="272"/>
  <c r="I12" i="272" s="1"/>
  <c r="J12" i="272"/>
  <c r="G18" i="241"/>
  <c r="I18" i="241" s="1"/>
  <c r="J18" i="241" s="1"/>
  <c r="I87" i="330"/>
  <c r="J87" i="330" s="1"/>
  <c r="H37" i="272"/>
  <c r="I37" i="272" s="1"/>
  <c r="J37" i="272" s="1"/>
  <c r="I214" i="323"/>
  <c r="J214" i="323"/>
  <c r="C34" i="241"/>
  <c r="D6" i="330"/>
  <c r="I99" i="335"/>
  <c r="J99" i="335" s="1"/>
  <c r="J139" i="242"/>
  <c r="H137" i="242"/>
  <c r="H19" i="272"/>
  <c r="I106" i="323"/>
  <c r="J106" i="323"/>
  <c r="J103" i="326"/>
  <c r="I36" i="361"/>
  <c r="I38" i="361" s="1"/>
  <c r="J110" i="326"/>
  <c r="J161" i="324"/>
  <c r="G74" i="268"/>
  <c r="I74" i="268" s="1"/>
  <c r="J74" i="268" s="1"/>
  <c r="F29" i="267"/>
  <c r="C6" i="330"/>
  <c r="K39" i="177"/>
  <c r="K41" i="177" s="1"/>
  <c r="J46" i="267" s="1"/>
  <c r="J43" i="267"/>
  <c r="D38" i="267"/>
  <c r="F53" i="174"/>
  <c r="F14" i="174"/>
  <c r="E45" i="178"/>
  <c r="I24" i="268"/>
  <c r="D49" i="174"/>
  <c r="D10" i="174" s="1"/>
  <c r="C25" i="272"/>
  <c r="C53" i="172"/>
  <c r="C50" i="267"/>
  <c r="D26" i="175"/>
  <c r="D27" i="175"/>
  <c r="C43" i="361"/>
  <c r="I16" i="270"/>
  <c r="J16" i="270"/>
  <c r="I153" i="242"/>
  <c r="J153" i="242"/>
  <c r="I118" i="326"/>
  <c r="J118" i="326" s="1"/>
  <c r="I76" i="335"/>
  <c r="J76" i="335"/>
  <c r="G30" i="272"/>
  <c r="I161" i="323"/>
  <c r="J161" i="323" s="1"/>
  <c r="D121" i="318"/>
  <c r="I24" i="272"/>
  <c r="J24" i="272" s="1"/>
  <c r="H23" i="241"/>
  <c r="C6" i="241"/>
  <c r="I51" i="323"/>
  <c r="H11" i="272"/>
  <c r="I11" i="272"/>
  <c r="J11" i="272" s="1"/>
  <c r="J51" i="323"/>
  <c r="G7" i="268"/>
  <c r="G31" i="268"/>
  <c r="G36" i="268"/>
  <c r="G38" i="268"/>
  <c r="I166" i="324"/>
  <c r="I31" i="268" s="1"/>
  <c r="G219" i="324"/>
  <c r="H14" i="174"/>
  <c r="J38" i="267"/>
  <c r="G45" i="178"/>
  <c r="G46" i="178" s="1"/>
  <c r="G57" i="178" s="1"/>
  <c r="C52" i="267"/>
  <c r="H11" i="241"/>
  <c r="H26" i="330"/>
  <c r="I118" i="333"/>
  <c r="J118" i="333"/>
  <c r="D53" i="174"/>
  <c r="D13" i="174"/>
  <c r="B36" i="267"/>
  <c r="G37" i="270"/>
  <c r="I69" i="335"/>
  <c r="J69" i="335"/>
  <c r="H16" i="268"/>
  <c r="I16" i="268" s="1"/>
  <c r="B43" i="267"/>
  <c r="C39" i="177"/>
  <c r="C41" i="177" s="1"/>
  <c r="B46" i="267" s="1"/>
  <c r="I13" i="335"/>
  <c r="J13" i="335"/>
  <c r="H7" i="335"/>
  <c r="H173" i="335" s="1"/>
  <c r="E42" i="361"/>
  <c r="I17" i="333"/>
  <c r="J17" i="333"/>
  <c r="I141" i="323"/>
  <c r="J141" i="323"/>
  <c r="G27" i="272"/>
  <c r="I27" i="272"/>
  <c r="J27" i="272"/>
  <c r="K14" i="175"/>
  <c r="G59" i="270"/>
  <c r="E6" i="272"/>
  <c r="I13" i="326"/>
  <c r="J13" i="326"/>
  <c r="H46" i="241"/>
  <c r="H43" i="241" s="1"/>
  <c r="I230" i="330"/>
  <c r="J230" i="330"/>
  <c r="F11" i="241"/>
  <c r="D219" i="323"/>
  <c r="C9" i="361" s="1"/>
  <c r="I23" i="241"/>
  <c r="J23" i="241" s="1"/>
  <c r="H32" i="272"/>
  <c r="I32" i="272" s="1"/>
  <c r="J32" i="272"/>
  <c r="J172" i="323"/>
  <c r="D50" i="267"/>
  <c r="E26" i="175"/>
  <c r="E27" i="175"/>
  <c r="D53" i="172"/>
  <c r="D43" i="361"/>
  <c r="I226" i="330"/>
  <c r="J226" i="330"/>
  <c r="G45" i="241"/>
  <c r="I45" i="241" s="1"/>
  <c r="J45" i="241" s="1"/>
  <c r="G9" i="268"/>
  <c r="I9" i="268"/>
  <c r="J9" i="268" s="1"/>
  <c r="I33" i="324"/>
  <c r="J33" i="324"/>
  <c r="I172" i="324"/>
  <c r="I32" i="268" s="1"/>
  <c r="H32" i="268"/>
  <c r="J32" i="268" s="1"/>
  <c r="I75" i="326"/>
  <c r="J75" i="326"/>
  <c r="H15" i="241"/>
  <c r="H10" i="241" s="1"/>
  <c r="J67" i="330"/>
  <c r="G19" i="241"/>
  <c r="I19" i="241" s="1"/>
  <c r="J19" i="241" s="1"/>
  <c r="J92" i="330"/>
  <c r="I111" i="335"/>
  <c r="J111" i="335"/>
  <c r="H110" i="335"/>
  <c r="I110" i="335" s="1"/>
  <c r="J110" i="335" s="1"/>
  <c r="I49" i="181"/>
  <c r="J49" i="181" s="1"/>
  <c r="H34" i="272"/>
  <c r="I34" i="272" s="1"/>
  <c r="J34" i="272" s="1"/>
  <c r="B52" i="267"/>
  <c r="B42" i="361"/>
  <c r="H26" i="175"/>
  <c r="H27" i="175"/>
  <c r="G53" i="172"/>
  <c r="G43" i="361"/>
  <c r="G50" i="267"/>
  <c r="J26" i="175"/>
  <c r="J27" i="175"/>
  <c r="I53" i="172"/>
  <c r="I50" i="267"/>
  <c r="I43" i="361"/>
  <c r="E24" i="272"/>
  <c r="F39" i="177"/>
  <c r="F41" i="177" s="1"/>
  <c r="E46" i="267" s="1"/>
  <c r="I45" i="335"/>
  <c r="J45" i="335"/>
  <c r="I52" i="267"/>
  <c r="I42" i="361"/>
  <c r="G16" i="241"/>
  <c r="I16" i="241" s="1"/>
  <c r="J16" i="241" s="1"/>
  <c r="I17" i="241"/>
  <c r="J17" i="241" s="1"/>
  <c r="D6" i="268"/>
  <c r="D11" i="241"/>
  <c r="D10" i="241" s="1"/>
  <c r="D26" i="330"/>
  <c r="G55" i="174"/>
  <c r="G65" i="182"/>
  <c r="I166" i="323"/>
  <c r="G31" i="272"/>
  <c r="I31" i="272" s="1"/>
  <c r="J31" i="272" s="1"/>
  <c r="I16" i="269"/>
  <c r="J16" i="269"/>
  <c r="I216" i="323"/>
  <c r="J216" i="323"/>
  <c r="H38" i="272"/>
  <c r="I38" i="272"/>
  <c r="J38" i="272" s="1"/>
  <c r="I132" i="330"/>
  <c r="J132" i="330" s="1"/>
  <c r="G31" i="241"/>
  <c r="I31" i="241" s="1"/>
  <c r="J31" i="241"/>
  <c r="D197" i="330"/>
  <c r="E24" i="268"/>
  <c r="E197" i="330"/>
  <c r="I99" i="242"/>
  <c r="I103" i="335"/>
  <c r="J103" i="335"/>
  <c r="C78" i="172"/>
  <c r="B78" i="172"/>
  <c r="K21" i="175"/>
  <c r="K26" i="175" s="1"/>
  <c r="K27" i="175" s="1"/>
  <c r="G8" i="241"/>
  <c r="G6" i="241" s="1"/>
  <c r="G6" i="268"/>
  <c r="E6" i="268"/>
  <c r="K34" i="241"/>
  <c r="G25" i="272"/>
  <c r="I25" i="272" s="1"/>
  <c r="I128" i="323"/>
  <c r="J128" i="323" s="1"/>
  <c r="I92" i="323"/>
  <c r="J92" i="323"/>
  <c r="H18" i="272"/>
  <c r="I18" i="272"/>
  <c r="J18" i="272" s="1"/>
  <c r="H30" i="272"/>
  <c r="H17" i="268"/>
  <c r="J89" i="324"/>
  <c r="I40" i="241"/>
  <c r="J40" i="241" s="1"/>
  <c r="I104" i="330"/>
  <c r="J104" i="330" s="1"/>
  <c r="G22" i="241"/>
  <c r="G24" i="241"/>
  <c r="C45" i="178"/>
  <c r="B38" i="267"/>
  <c r="D14" i="174"/>
  <c r="B103" i="100"/>
  <c r="A26" i="172" s="1"/>
  <c r="B102" i="100"/>
  <c r="A1" i="172"/>
  <c r="F45" i="178"/>
  <c r="G53" i="174"/>
  <c r="F38" i="267"/>
  <c r="J58" i="323"/>
  <c r="J28" i="268"/>
  <c r="G44" i="241"/>
  <c r="I222" i="330"/>
  <c r="J222" i="330"/>
  <c r="G221" i="330"/>
  <c r="I69" i="242"/>
  <c r="J69" i="242" s="1"/>
  <c r="K49" i="182"/>
  <c r="K52" i="182" s="1"/>
  <c r="K54" i="182" s="1"/>
  <c r="K57" i="182" s="1"/>
  <c r="K60" i="182" s="1"/>
  <c r="H55" i="174"/>
  <c r="H26" i="174" s="1"/>
  <c r="H28" i="174"/>
  <c r="K65" i="182"/>
  <c r="J5" i="361"/>
  <c r="J11" i="267"/>
  <c r="E7" i="242"/>
  <c r="E172" i="242" s="1"/>
  <c r="E22" i="241"/>
  <c r="E20" i="241"/>
  <c r="E99" i="330"/>
  <c r="I110" i="242"/>
  <c r="J110" i="242"/>
  <c r="H16" i="272"/>
  <c r="I16" i="272" s="1"/>
  <c r="J16" i="272" s="1"/>
  <c r="I75" i="323"/>
  <c r="J75" i="323"/>
  <c r="I17" i="242"/>
  <c r="J17" i="242" s="1"/>
  <c r="J92" i="324"/>
  <c r="H18" i="268"/>
  <c r="I92" i="324"/>
  <c r="I200" i="324"/>
  <c r="I118" i="330"/>
  <c r="J118" i="330"/>
  <c r="I130" i="333"/>
  <c r="J130" i="333" s="1"/>
  <c r="F6" i="272"/>
  <c r="H138" i="326"/>
  <c r="K25" i="268"/>
  <c r="H138" i="333"/>
  <c r="I138" i="333" s="1"/>
  <c r="J138" i="333" s="1"/>
  <c r="I140" i="333"/>
  <c r="J140" i="333"/>
  <c r="J53" i="326"/>
  <c r="D40" i="267"/>
  <c r="C25" i="268"/>
  <c r="C39" i="268" s="1"/>
  <c r="C219" i="324"/>
  <c r="J38" i="361"/>
  <c r="G14" i="272"/>
  <c r="I14" i="272" s="1"/>
  <c r="J14" i="272" s="1"/>
  <c r="I64" i="323"/>
  <c r="J64" i="323" s="1"/>
  <c r="F40" i="241"/>
  <c r="F39" i="241"/>
  <c r="F197" i="330"/>
  <c r="I130" i="335"/>
  <c r="J130" i="335"/>
  <c r="I38" i="268"/>
  <c r="J160" i="335"/>
  <c r="I160" i="335"/>
  <c r="D128" i="330"/>
  <c r="H75" i="325"/>
  <c r="I114" i="242"/>
  <c r="J114" i="242" s="1"/>
  <c r="B104" i="172"/>
  <c r="H31" i="272"/>
  <c r="H39" i="272" s="1"/>
  <c r="J166" i="323"/>
  <c r="H6" i="272"/>
  <c r="I6" i="272" s="1"/>
  <c r="H47" i="241"/>
  <c r="E65" i="182"/>
  <c r="D5" i="361"/>
  <c r="F55" i="174"/>
  <c r="F26" i="174" s="1"/>
  <c r="D11" i="267"/>
  <c r="E49" i="182"/>
  <c r="E52" i="182" s="1"/>
  <c r="E54" i="182" s="1"/>
  <c r="E57" i="182" s="1"/>
  <c r="E60" i="182" s="1"/>
  <c r="G8" i="334"/>
  <c r="F28" i="334"/>
  <c r="I111" i="325"/>
  <c r="H110" i="325"/>
  <c r="J214" i="324"/>
  <c r="H37" i="268"/>
  <c r="J37" i="268"/>
  <c r="I214" i="324"/>
  <c r="I37" i="268"/>
  <c r="G75" i="330"/>
  <c r="I75" i="330" s="1"/>
  <c r="J75" i="330" s="1"/>
  <c r="I47" i="324"/>
  <c r="J47" i="324"/>
  <c r="G10" i="268"/>
  <c r="I10" i="268"/>
  <c r="J10" i="268" s="1"/>
  <c r="G20" i="361"/>
  <c r="D10" i="267"/>
  <c r="F5" i="361"/>
  <c r="I65" i="182"/>
  <c r="H5" i="361" s="1"/>
  <c r="G29" i="241"/>
  <c r="G14" i="174"/>
  <c r="G13" i="174"/>
  <c r="J172" i="324"/>
  <c r="I30" i="272"/>
  <c r="J30" i="272" s="1"/>
  <c r="I19" i="272"/>
  <c r="J19" i="272"/>
  <c r="G61" i="270"/>
  <c r="G33" i="241"/>
  <c r="I128" i="330"/>
  <c r="G247" i="330"/>
  <c r="F8" i="361" s="1"/>
  <c r="G26" i="174"/>
  <c r="G17" i="174"/>
  <c r="I47" i="241"/>
  <c r="J47" i="241"/>
  <c r="G28" i="334"/>
  <c r="F49" i="334"/>
  <c r="G49" i="334" s="1"/>
  <c r="I36" i="268"/>
  <c r="J36" i="268"/>
  <c r="J200" i="324"/>
  <c r="J15" i="241"/>
  <c r="I15" i="241"/>
  <c r="J159" i="324"/>
  <c r="J17" i="268"/>
  <c r="J52" i="181"/>
  <c r="J31" i="268"/>
  <c r="J166" i="324"/>
  <c r="G9" i="361"/>
  <c r="E10" i="267"/>
  <c r="J43" i="361"/>
  <c r="J50" i="267"/>
  <c r="I117" i="335"/>
  <c r="J117" i="335" s="1"/>
  <c r="H29" i="267"/>
  <c r="I29" i="267"/>
  <c r="F46" i="174"/>
  <c r="F8" i="174"/>
  <c r="D19" i="361"/>
  <c r="F20" i="361"/>
  <c r="H20" i="361"/>
  <c r="I137" i="242"/>
  <c r="J137" i="242" s="1"/>
  <c r="I138" i="335"/>
  <c r="J138" i="335" s="1"/>
  <c r="G39" i="174"/>
  <c r="F46" i="178"/>
  <c r="F57" i="178" s="1"/>
  <c r="I219" i="323"/>
  <c r="H9" i="361"/>
  <c r="J16" i="268"/>
  <c r="H54" i="182"/>
  <c r="H57" i="182" s="1"/>
  <c r="H60" i="182" s="1"/>
  <c r="J138" i="326"/>
  <c r="I138" i="326"/>
  <c r="G43" i="241"/>
  <c r="I44" i="241"/>
  <c r="I75" i="335"/>
  <c r="J75" i="335"/>
  <c r="G28" i="174"/>
  <c r="H17" i="174"/>
  <c r="J29" i="268"/>
  <c r="J18" i="268"/>
  <c r="I18" i="268"/>
  <c r="J128" i="330"/>
  <c r="I20" i="361"/>
  <c r="J219" i="323"/>
  <c r="I9" i="361"/>
  <c r="H61" i="317"/>
  <c r="H49" i="317"/>
  <c r="K61" i="317"/>
  <c r="K49" i="317"/>
  <c r="K50" i="317" s="1"/>
  <c r="E50" i="317"/>
  <c r="N7" i="317"/>
  <c r="D44" i="317"/>
  <c r="D49" i="317" s="1"/>
  <c r="D50" i="317" s="1"/>
  <c r="E61" i="317"/>
  <c r="B61" i="100"/>
  <c r="E62" i="317"/>
  <c r="A1" i="238"/>
  <c r="A1" i="335"/>
  <c r="A1" i="173"/>
  <c r="A1" i="174"/>
  <c r="A1" i="269"/>
  <c r="A1" i="175"/>
  <c r="A1" i="318"/>
  <c r="A1" i="317"/>
  <c r="A1" i="334"/>
  <c r="A1" i="270"/>
  <c r="O25" i="238"/>
  <c r="O30" i="238"/>
  <c r="B83" i="100" l="1"/>
  <c r="A1" i="177" s="1"/>
  <c r="B96" i="100"/>
  <c r="A1" i="242" s="1"/>
  <c r="B99" i="100"/>
  <c r="A1" i="333" s="1"/>
  <c r="B97" i="100"/>
  <c r="A1" i="326" s="1"/>
  <c r="B81" i="100"/>
  <c r="J6" i="272"/>
  <c r="G15" i="361"/>
  <c r="I197" i="330"/>
  <c r="J197" i="330" s="1"/>
  <c r="J25" i="272"/>
  <c r="D13" i="361"/>
  <c r="I15" i="268"/>
  <c r="I43" i="241"/>
  <c r="J43" i="241" s="1"/>
  <c r="K62" i="317"/>
  <c r="J13" i="361"/>
  <c r="K7" i="325"/>
  <c r="K172" i="325" s="1"/>
  <c r="H41" i="174" s="1"/>
  <c r="H27" i="174" s="1"/>
  <c r="I148" i="330"/>
  <c r="I247" i="330" s="1"/>
  <c r="D24" i="241"/>
  <c r="D20" i="241" s="1"/>
  <c r="D99" i="330"/>
  <c r="I63" i="333"/>
  <c r="J63" i="333" s="1"/>
  <c r="H7" i="333"/>
  <c r="K16" i="173"/>
  <c r="G44" i="267"/>
  <c r="I28" i="177"/>
  <c r="J28" i="177"/>
  <c r="I159" i="323"/>
  <c r="J159" i="323" s="1"/>
  <c r="G29" i="272"/>
  <c r="H99" i="330"/>
  <c r="H22" i="241"/>
  <c r="I163" i="335"/>
  <c r="J163" i="335"/>
  <c r="H41" i="241"/>
  <c r="H39" i="241" s="1"/>
  <c r="J38" i="326"/>
  <c r="C31" i="241"/>
  <c r="C29" i="241" s="1"/>
  <c r="E43" i="241"/>
  <c r="K8" i="241"/>
  <c r="K6" i="241" s="1"/>
  <c r="K6" i="330"/>
  <c r="G75" i="333"/>
  <c r="I76" i="333"/>
  <c r="J76" i="333" s="1"/>
  <c r="H7" i="325"/>
  <c r="I8" i="325"/>
  <c r="J8" i="325"/>
  <c r="I149" i="330"/>
  <c r="J149" i="330"/>
  <c r="H34" i="241"/>
  <c r="H148" i="330"/>
  <c r="D21" i="272"/>
  <c r="D40" i="272" s="1"/>
  <c r="J47" i="268"/>
  <c r="H63" i="268"/>
  <c r="J44" i="241"/>
  <c r="J65" i="182"/>
  <c r="I5" i="361" s="1"/>
  <c r="F17" i="174"/>
  <c r="G54" i="181"/>
  <c r="I54" i="181" s="1"/>
  <c r="J54" i="181" s="1"/>
  <c r="J72" i="324"/>
  <c r="D36" i="267"/>
  <c r="I197" i="324"/>
  <c r="I35" i="268" s="1"/>
  <c r="C40" i="241"/>
  <c r="C39" i="241" s="1"/>
  <c r="G13" i="241"/>
  <c r="I13" i="241" s="1"/>
  <c r="J13" i="241" s="1"/>
  <c r="K39" i="272"/>
  <c r="I54" i="318"/>
  <c r="J54" i="318" s="1"/>
  <c r="I30" i="361" s="1"/>
  <c r="F30" i="361"/>
  <c r="I157" i="326"/>
  <c r="J157" i="326"/>
  <c r="E8" i="241"/>
  <c r="E6" i="241" s="1"/>
  <c r="E6" i="330"/>
  <c r="D6" i="241"/>
  <c r="I45" i="326"/>
  <c r="H39" i="177"/>
  <c r="H41" i="177" s="1"/>
  <c r="G46" i="267" s="1"/>
  <c r="E27" i="178"/>
  <c r="G111" i="324"/>
  <c r="E111" i="323"/>
  <c r="G13" i="268"/>
  <c r="I58" i="324"/>
  <c r="J58" i="324" s="1"/>
  <c r="D221" i="330"/>
  <c r="D44" i="241"/>
  <c r="D43" i="241" s="1"/>
  <c r="D24" i="268"/>
  <c r="J140" i="326"/>
  <c r="I140" i="326"/>
  <c r="G41" i="241"/>
  <c r="I209" i="330"/>
  <c r="J209" i="330" s="1"/>
  <c r="I99" i="333"/>
  <c r="J99" i="333" s="1"/>
  <c r="H75" i="333"/>
  <c r="I75" i="333" s="1"/>
  <c r="J75" i="333" s="1"/>
  <c r="C10" i="267"/>
  <c r="C33" i="267"/>
  <c r="E29" i="267"/>
  <c r="E33" i="267" s="1"/>
  <c r="F74" i="268"/>
  <c r="E20" i="361" s="1"/>
  <c r="E39" i="177"/>
  <c r="E41" i="177" s="1"/>
  <c r="D43" i="267"/>
  <c r="I7" i="241"/>
  <c r="J7" i="241" s="1"/>
  <c r="I72" i="324"/>
  <c r="K35" i="241"/>
  <c r="K33" i="241" s="1"/>
  <c r="K148" i="330"/>
  <c r="F43" i="267"/>
  <c r="H43" i="267" s="1"/>
  <c r="I43" i="267" s="1"/>
  <c r="G39" i="177"/>
  <c r="G41" i="177" s="1"/>
  <c r="F46" i="267" s="1"/>
  <c r="I18" i="177"/>
  <c r="J18" i="177" s="1"/>
  <c r="G119" i="318"/>
  <c r="O52" i="317"/>
  <c r="P51" i="317" s="1"/>
  <c r="I113" i="330"/>
  <c r="J113" i="330" s="1"/>
  <c r="C27" i="178"/>
  <c r="F11" i="267"/>
  <c r="I33" i="182"/>
  <c r="J33" i="182" s="1"/>
  <c r="H75" i="242"/>
  <c r="J99" i="242"/>
  <c r="H24" i="241"/>
  <c r="I24" i="241" s="1"/>
  <c r="J24" i="241" s="1"/>
  <c r="I111" i="333"/>
  <c r="J111" i="333" s="1"/>
  <c r="H110" i="333"/>
  <c r="I110" i="333" s="1"/>
  <c r="J110" i="333" s="1"/>
  <c r="I110" i="325"/>
  <c r="J110" i="325" s="1"/>
  <c r="K219" i="323"/>
  <c r="J9" i="361" s="1"/>
  <c r="G14" i="268"/>
  <c r="I14" i="268" s="1"/>
  <c r="J14" i="268" s="1"/>
  <c r="F52" i="267"/>
  <c r="F42" i="361"/>
  <c r="G75" i="325"/>
  <c r="I75" i="325" s="1"/>
  <c r="J75" i="325" s="1"/>
  <c r="G110" i="326"/>
  <c r="I110" i="326" s="1"/>
  <c r="I53" i="268"/>
  <c r="J53" i="268" s="1"/>
  <c r="G63" i="268"/>
  <c r="I53" i="324"/>
  <c r="J53" i="324"/>
  <c r="H12" i="268"/>
  <c r="J53" i="335"/>
  <c r="I53" i="335"/>
  <c r="D39" i="241"/>
  <c r="I136" i="324"/>
  <c r="H26" i="268"/>
  <c r="H219" i="324"/>
  <c r="I219" i="324" s="1"/>
  <c r="G11" i="241"/>
  <c r="I27" i="330"/>
  <c r="J27" i="330" s="1"/>
  <c r="J118" i="335"/>
  <c r="H7" i="174"/>
  <c r="F57" i="269"/>
  <c r="I89" i="324"/>
  <c r="G17" i="268"/>
  <c r="I17" i="268" s="1"/>
  <c r="I33" i="272"/>
  <c r="J33" i="272" s="1"/>
  <c r="F138" i="326"/>
  <c r="F173" i="326" s="1"/>
  <c r="I189" i="330"/>
  <c r="J189" i="330" s="1"/>
  <c r="I128" i="324"/>
  <c r="I7" i="330"/>
  <c r="J7" i="330" s="1"/>
  <c r="G18" i="267"/>
  <c r="G10" i="361"/>
  <c r="G27" i="361"/>
  <c r="I14" i="318"/>
  <c r="P50" i="317"/>
  <c r="A172" i="324"/>
  <c r="A172" i="323"/>
  <c r="A47" i="323"/>
  <c r="A47" i="324"/>
  <c r="A28" i="268"/>
  <c r="A10" i="268"/>
  <c r="A28" i="272"/>
  <c r="I63" i="325"/>
  <c r="J63" i="325" s="1"/>
  <c r="C6" i="268"/>
  <c r="D75" i="242"/>
  <c r="B82" i="100"/>
  <c r="A1" i="178" s="1"/>
  <c r="B93" i="100"/>
  <c r="A1" i="181" s="1"/>
  <c r="B79" i="100"/>
  <c r="B77" i="100"/>
  <c r="A1" i="267" s="1"/>
  <c r="B95" i="100"/>
  <c r="A1" i="180" s="1"/>
  <c r="B80" i="100"/>
  <c r="A1" i="182" s="1"/>
  <c r="B98" i="100"/>
  <c r="A1" i="325" s="1"/>
  <c r="B100" i="100"/>
  <c r="B94" i="100"/>
  <c r="A1" i="183" s="1"/>
  <c r="E118" i="333"/>
  <c r="D118" i="326"/>
  <c r="D117" i="326" s="1"/>
  <c r="D56" i="318"/>
  <c r="D119" i="318" s="1"/>
  <c r="C39" i="361" s="1"/>
  <c r="H42" i="361"/>
  <c r="D111" i="323"/>
  <c r="G15" i="272"/>
  <c r="I15" i="272" s="1"/>
  <c r="J15" i="272" s="1"/>
  <c r="D57" i="269"/>
  <c r="G7" i="325"/>
  <c r="G172" i="325" s="1"/>
  <c r="G41" i="174" s="1"/>
  <c r="G27" i="174" s="1"/>
  <c r="E53" i="174"/>
  <c r="C38" i="267"/>
  <c r="A1" i="323"/>
  <c r="A1" i="272"/>
  <c r="K53" i="333"/>
  <c r="E130" i="333"/>
  <c r="K103" i="325"/>
  <c r="E140" i="325"/>
  <c r="E138" i="325" s="1"/>
  <c r="D8" i="172"/>
  <c r="G11" i="180"/>
  <c r="D149" i="330"/>
  <c r="F171" i="330"/>
  <c r="F35" i="241" s="1"/>
  <c r="F117" i="242"/>
  <c r="F172" i="242" s="1"/>
  <c r="I106" i="324"/>
  <c r="G19" i="268"/>
  <c r="I19" i="268" s="1"/>
  <c r="E97" i="318"/>
  <c r="E118" i="318"/>
  <c r="D17" i="333"/>
  <c r="D53" i="333"/>
  <c r="I78" i="325"/>
  <c r="J78" i="325" s="1"/>
  <c r="K140" i="325"/>
  <c r="K138" i="325" s="1"/>
  <c r="D75" i="326"/>
  <c r="F99" i="326"/>
  <c r="F9" i="180"/>
  <c r="F10" i="180" s="1"/>
  <c r="E149" i="330"/>
  <c r="F221" i="330"/>
  <c r="K75" i="330"/>
  <c r="E55" i="174"/>
  <c r="H30" i="241"/>
  <c r="A35" i="268"/>
  <c r="J180" i="324"/>
  <c r="H36" i="241"/>
  <c r="I36" i="241" s="1"/>
  <c r="J36" i="241" s="1"/>
  <c r="I177" i="330"/>
  <c r="J177" i="330" s="1"/>
  <c r="I167" i="333"/>
  <c r="J167" i="333" s="1"/>
  <c r="H166" i="333"/>
  <c r="I166" i="333" s="1"/>
  <c r="J166" i="333" s="1"/>
  <c r="E17" i="333"/>
  <c r="E7" i="333" s="1"/>
  <c r="F76" i="325"/>
  <c r="F75" i="325" s="1"/>
  <c r="F172" i="325" s="1"/>
  <c r="E5" i="172"/>
  <c r="F8" i="180"/>
  <c r="F45" i="174"/>
  <c r="G19" i="267"/>
  <c r="G20" i="267" s="1"/>
  <c r="G23" i="267" s="1"/>
  <c r="G25" i="267" s="1"/>
  <c r="I9" i="272"/>
  <c r="J9" i="272" s="1"/>
  <c r="H140" i="325"/>
  <c r="E15" i="318"/>
  <c r="D15" i="318"/>
  <c r="D8" i="325"/>
  <c r="I41" i="325"/>
  <c r="J41" i="325" s="1"/>
  <c r="D18" i="180"/>
  <c r="C110" i="325"/>
  <c r="H27" i="268"/>
  <c r="J27" i="268" s="1"/>
  <c r="J141" i="324"/>
  <c r="H27" i="325"/>
  <c r="D53" i="325"/>
  <c r="F117" i="325"/>
  <c r="I122" i="325"/>
  <c r="H118" i="325"/>
  <c r="E76" i="326"/>
  <c r="E75" i="326" s="1"/>
  <c r="K9" i="272"/>
  <c r="K21" i="272" s="1"/>
  <c r="K40" i="272" s="1"/>
  <c r="K111" i="323"/>
  <c r="D18" i="267"/>
  <c r="D19" i="267" s="1"/>
  <c r="D20" i="267" s="1"/>
  <c r="D23" i="267" s="1"/>
  <c r="D25" i="267" s="1"/>
  <c r="I69" i="182"/>
  <c r="J26" i="182"/>
  <c r="J69" i="182" s="1"/>
  <c r="I27" i="242"/>
  <c r="J27" i="242" s="1"/>
  <c r="C19" i="267"/>
  <c r="C20" i="267" s="1"/>
  <c r="C23" i="267" s="1"/>
  <c r="C25" i="267" s="1"/>
  <c r="C36" i="269"/>
  <c r="C57" i="269" s="1"/>
  <c r="F130" i="325"/>
  <c r="G110" i="325"/>
  <c r="F8" i="333"/>
  <c r="F27" i="333"/>
  <c r="K13" i="333"/>
  <c r="D63" i="325"/>
  <c r="I86" i="325"/>
  <c r="J86" i="325" s="1"/>
  <c r="K27" i="326"/>
  <c r="K7" i="326" s="1"/>
  <c r="K38" i="326"/>
  <c r="F76" i="326"/>
  <c r="F75" i="326" s="1"/>
  <c r="F53" i="172"/>
  <c r="A166" i="323"/>
  <c r="A58" i="323"/>
  <c r="A8" i="268"/>
  <c r="C118" i="318"/>
  <c r="F165" i="242"/>
  <c r="F111" i="333"/>
  <c r="F110" i="333" s="1"/>
  <c r="I62" i="325"/>
  <c r="J62" i="325" s="1"/>
  <c r="D69" i="325"/>
  <c r="E103" i="325"/>
  <c r="F110" i="325"/>
  <c r="C10" i="361"/>
  <c r="A58" i="324"/>
  <c r="I111" i="326"/>
  <c r="E166" i="335"/>
  <c r="I141" i="325"/>
  <c r="D8" i="326"/>
  <c r="D7" i="326" s="1"/>
  <c r="D173" i="326" s="1"/>
  <c r="F110" i="326"/>
  <c r="F140" i="326"/>
  <c r="F149" i="330"/>
  <c r="J11" i="268"/>
  <c r="C49" i="181"/>
  <c r="C52" i="181" s="1"/>
  <c r="C54" i="181" s="1"/>
  <c r="I166" i="325"/>
  <c r="F166" i="335"/>
  <c r="F173" i="335" s="1"/>
  <c r="E15" i="361" s="1"/>
  <c r="K45" i="333"/>
  <c r="K76" i="333"/>
  <c r="K75" i="333" s="1"/>
  <c r="E56" i="318"/>
  <c r="E119" i="318" s="1"/>
  <c r="I11" i="268"/>
  <c r="A29" i="272"/>
  <c r="A29" i="268"/>
  <c r="D8" i="333"/>
  <c r="K140" i="333"/>
  <c r="K138" i="333" s="1"/>
  <c r="G27" i="325"/>
  <c r="K45" i="325"/>
  <c r="E45" i="325"/>
  <c r="E7" i="325" s="1"/>
  <c r="E172" i="325" s="1"/>
  <c r="F41" i="174" s="1"/>
  <c r="F27" i="174" s="1"/>
  <c r="I114" i="325"/>
  <c r="E63" i="326"/>
  <c r="E7" i="326" s="1"/>
  <c r="E173" i="326" s="1"/>
  <c r="K140" i="326"/>
  <c r="K138" i="326" s="1"/>
  <c r="F43" i="241"/>
  <c r="F42" i="174"/>
  <c r="D138" i="335"/>
  <c r="I237" i="330"/>
  <c r="J237" i="330"/>
  <c r="J131" i="326"/>
  <c r="H130" i="326"/>
  <c r="J120" i="326"/>
  <c r="F200" i="323"/>
  <c r="F36" i="272" s="1"/>
  <c r="F92" i="323"/>
  <c r="H20" i="323"/>
  <c r="I21" i="323"/>
  <c r="J21" i="323" s="1"/>
  <c r="C48" i="182"/>
  <c r="K222" i="330"/>
  <c r="K69" i="335"/>
  <c r="K7" i="335" s="1"/>
  <c r="K100" i="330"/>
  <c r="K14" i="318"/>
  <c r="G38" i="242"/>
  <c r="J217" i="330"/>
  <c r="I217" i="330"/>
  <c r="I34" i="333"/>
  <c r="J34" i="333" s="1"/>
  <c r="G27" i="333"/>
  <c r="I27" i="333" s="1"/>
  <c r="J27" i="333" s="1"/>
  <c r="I169" i="242"/>
  <c r="E118" i="335"/>
  <c r="E87" i="330"/>
  <c r="G49" i="330"/>
  <c r="F32" i="267"/>
  <c r="I73" i="268"/>
  <c r="J73" i="268" s="1"/>
  <c r="A12" i="272"/>
  <c r="K209" i="330"/>
  <c r="E172" i="323"/>
  <c r="E32" i="272" s="1"/>
  <c r="E39" i="272" s="1"/>
  <c r="E40" i="272" s="1"/>
  <c r="J16" i="267"/>
  <c r="F130" i="242"/>
  <c r="F14" i="175"/>
  <c r="G76" i="242"/>
  <c r="G75" i="242" s="1"/>
  <c r="I27" i="323"/>
  <c r="K54" i="318"/>
  <c r="J30" i="361" s="1"/>
  <c r="E130" i="335"/>
  <c r="H24" i="267"/>
  <c r="I24" i="267" s="1"/>
  <c r="K55" i="330"/>
  <c r="K13" i="241" s="1"/>
  <c r="K87" i="330"/>
  <c r="K18" i="241" s="1"/>
  <c r="K16" i="241" s="1"/>
  <c r="J49" i="323"/>
  <c r="H7" i="267"/>
  <c r="I7" i="267" s="1"/>
  <c r="I49" i="326"/>
  <c r="J49" i="326"/>
  <c r="H27" i="326"/>
  <c r="J28" i="326"/>
  <c r="I80" i="333"/>
  <c r="J80" i="333" s="1"/>
  <c r="D27" i="335"/>
  <c r="D7" i="335" s="1"/>
  <c r="D75" i="324"/>
  <c r="D16" i="268" s="1"/>
  <c r="E171" i="330"/>
  <c r="E35" i="241" s="1"/>
  <c r="K138" i="335"/>
  <c r="D53" i="242"/>
  <c r="D7" i="242" s="1"/>
  <c r="D172" i="242" s="1"/>
  <c r="L10" i="175"/>
  <c r="L11" i="175"/>
  <c r="K27" i="330"/>
  <c r="K64" i="330"/>
  <c r="K14" i="241" s="1"/>
  <c r="J20" i="242"/>
  <c r="I36" i="242"/>
  <c r="J36" i="242" s="1"/>
  <c r="I57" i="323"/>
  <c r="J57" i="323" s="1"/>
  <c r="G118" i="242"/>
  <c r="I70" i="333"/>
  <c r="J70" i="333" s="1"/>
  <c r="K14" i="173"/>
  <c r="J104" i="172" s="1"/>
  <c r="K13" i="173"/>
  <c r="I104" i="172" s="1"/>
  <c r="C75" i="324"/>
  <c r="C16" i="268" s="1"/>
  <c r="L13" i="175"/>
  <c r="L9" i="175"/>
  <c r="L14" i="175" s="1"/>
  <c r="I81" i="242"/>
  <c r="J81" i="242" s="1"/>
  <c r="J45" i="330"/>
  <c r="I45" i="330"/>
  <c r="I156" i="330"/>
  <c r="I98" i="323"/>
  <c r="J98" i="323" s="1"/>
  <c r="I61" i="323"/>
  <c r="I27" i="182"/>
  <c r="J27" i="182" s="1"/>
  <c r="I52" i="326"/>
  <c r="I66" i="333"/>
  <c r="J66" i="333" s="1"/>
  <c r="J48" i="335"/>
  <c r="I48" i="335"/>
  <c r="I115" i="323"/>
  <c r="J115" i="323" s="1"/>
  <c r="D44" i="178"/>
  <c r="C39" i="267" s="1"/>
  <c r="K200" i="324"/>
  <c r="K36" i="268" s="1"/>
  <c r="K115" i="324"/>
  <c r="D136" i="324"/>
  <c r="D26" i="268" s="1"/>
  <c r="H21" i="317"/>
  <c r="H32" i="317" s="1"/>
  <c r="H50" i="317" s="1"/>
  <c r="K92" i="324"/>
  <c r="K18" i="268" s="1"/>
  <c r="K64" i="324"/>
  <c r="K14" i="268" s="1"/>
  <c r="I213" i="324"/>
  <c r="J213" i="324"/>
  <c r="G44" i="317"/>
  <c r="J90" i="330"/>
  <c r="J199" i="330"/>
  <c r="J184" i="330"/>
  <c r="G7" i="267"/>
  <c r="G10" i="267" s="1"/>
  <c r="I46" i="333"/>
  <c r="J46" i="333" s="1"/>
  <c r="J134" i="323"/>
  <c r="E34" i="318"/>
  <c r="C113" i="330"/>
  <c r="C27" i="335"/>
  <c r="D55" i="174"/>
  <c r="D17" i="174" s="1"/>
  <c r="B11" i="267"/>
  <c r="F7" i="330"/>
  <c r="K49" i="330"/>
  <c r="K12" i="241" s="1"/>
  <c r="I13" i="330"/>
  <c r="J13" i="330" s="1"/>
  <c r="H10" i="330"/>
  <c r="J223" i="330"/>
  <c r="G53" i="326"/>
  <c r="I53" i="326" s="1"/>
  <c r="I129" i="333"/>
  <c r="J129" i="333" s="1"/>
  <c r="J149" i="335"/>
  <c r="H7" i="324"/>
  <c r="C118" i="333"/>
  <c r="C117" i="333" s="1"/>
  <c r="C13" i="335"/>
  <c r="C53" i="335"/>
  <c r="F55" i="330"/>
  <c r="D118" i="330"/>
  <c r="D25" i="241" s="1"/>
  <c r="I73" i="242"/>
  <c r="J73" i="242" s="1"/>
  <c r="G100" i="330"/>
  <c r="J25" i="182"/>
  <c r="F24" i="361"/>
  <c r="F14" i="267"/>
  <c r="G48" i="182"/>
  <c r="J50" i="318"/>
  <c r="D28" i="177"/>
  <c r="C189" i="330"/>
  <c r="C38" i="241" s="1"/>
  <c r="C33" i="241" s="1"/>
  <c r="D87" i="330"/>
  <c r="I152" i="330"/>
  <c r="I12" i="182"/>
  <c r="J12" i="182" s="1"/>
  <c r="I133" i="333"/>
  <c r="J133" i="333" s="1"/>
  <c r="I81" i="335"/>
  <c r="J81" i="335"/>
  <c r="I12" i="335"/>
  <c r="J12" i="335" s="1"/>
  <c r="K34" i="318"/>
  <c r="C114" i="323"/>
  <c r="G28" i="323"/>
  <c r="I42" i="326"/>
  <c r="I32" i="335"/>
  <c r="I23" i="335"/>
  <c r="J23" i="335" s="1"/>
  <c r="J60" i="324"/>
  <c r="D141" i="324"/>
  <c r="D27" i="268" s="1"/>
  <c r="D47" i="324"/>
  <c r="D10" i="268" s="1"/>
  <c r="H34" i="318"/>
  <c r="C183" i="323"/>
  <c r="C34" i="272" s="1"/>
  <c r="C17" i="242"/>
  <c r="C8" i="333"/>
  <c r="G39" i="269"/>
  <c r="G55" i="269" s="1"/>
  <c r="N12" i="317"/>
  <c r="I41" i="323"/>
  <c r="J41" i="323" s="1"/>
  <c r="I23" i="182"/>
  <c r="I144" i="326"/>
  <c r="I22" i="326"/>
  <c r="I33" i="333"/>
  <c r="J33" i="333" s="1"/>
  <c r="J187" i="323"/>
  <c r="F47" i="268"/>
  <c r="F63" i="268" s="1"/>
  <c r="D57" i="268"/>
  <c r="D47" i="268"/>
  <c r="I212" i="324"/>
  <c r="J212" i="324"/>
  <c r="J82" i="324"/>
  <c r="I78" i="324"/>
  <c r="J78" i="324" s="1"/>
  <c r="C20" i="324"/>
  <c r="C7" i="268" s="1"/>
  <c r="C118" i="326"/>
  <c r="C117" i="326" s="1"/>
  <c r="C44" i="317"/>
  <c r="C49" i="317" s="1"/>
  <c r="N17" i="317"/>
  <c r="C21" i="317"/>
  <c r="C32" i="317" s="1"/>
  <c r="I49" i="323"/>
  <c r="I44" i="323"/>
  <c r="J44" i="323" s="1"/>
  <c r="I96" i="323"/>
  <c r="J96" i="323" s="1"/>
  <c r="J23" i="182"/>
  <c r="G27" i="335"/>
  <c r="J210" i="323"/>
  <c r="J50" i="268"/>
  <c r="I45" i="268"/>
  <c r="J45" i="268" s="1"/>
  <c r="C235" i="330"/>
  <c r="C55" i="330"/>
  <c r="C43" i="268"/>
  <c r="C63" i="268" s="1"/>
  <c r="C8" i="325"/>
  <c r="M21" i="317"/>
  <c r="M32" i="317" s="1"/>
  <c r="M50" i="317" s="1"/>
  <c r="I108" i="324"/>
  <c r="J108" i="324" s="1"/>
  <c r="F161" i="324"/>
  <c r="C54" i="318"/>
  <c r="C103" i="326"/>
  <c r="N25" i="317"/>
  <c r="N24" i="317"/>
  <c r="N10" i="317"/>
  <c r="I52" i="269"/>
  <c r="J52" i="269" s="1"/>
  <c r="J158" i="323"/>
  <c r="E63" i="174"/>
  <c r="E18" i="174" s="1"/>
  <c r="I134" i="324"/>
  <c r="I35" i="324"/>
  <c r="J35" i="324" s="1"/>
  <c r="H20" i="324"/>
  <c r="E200" i="324"/>
  <c r="E36" i="268" s="1"/>
  <c r="E172" i="324"/>
  <c r="E32" i="268" s="1"/>
  <c r="G8" i="269"/>
  <c r="C13" i="242"/>
  <c r="C7" i="242" s="1"/>
  <c r="C172" i="242" s="1"/>
  <c r="F16" i="270"/>
  <c r="F37" i="270" s="1"/>
  <c r="F61" i="270" s="1"/>
  <c r="N46" i="317"/>
  <c r="I12" i="333"/>
  <c r="J12" i="333" s="1"/>
  <c r="G8" i="333"/>
  <c r="F141" i="323"/>
  <c r="K7" i="324"/>
  <c r="D216" i="324"/>
  <c r="D38" i="268" s="1"/>
  <c r="E36" i="361"/>
  <c r="E38" i="361" s="1"/>
  <c r="F48" i="182"/>
  <c r="C67" i="330"/>
  <c r="C15" i="241" s="1"/>
  <c r="N20" i="317"/>
  <c r="D39" i="269"/>
  <c r="D55" i="269" s="1"/>
  <c r="K47" i="270"/>
  <c r="I21" i="317"/>
  <c r="I32" i="317" s="1"/>
  <c r="N36" i="317"/>
  <c r="G21" i="317"/>
  <c r="G32" i="317" s="1"/>
  <c r="I52" i="270"/>
  <c r="J52" i="270" s="1"/>
  <c r="I26" i="333"/>
  <c r="J26" i="333" s="1"/>
  <c r="I10" i="335"/>
  <c r="J10" i="335" s="1"/>
  <c r="J208" i="323"/>
  <c r="J138" i="323"/>
  <c r="I131" i="323"/>
  <c r="J131" i="323" s="1"/>
  <c r="J56" i="268"/>
  <c r="E136" i="324"/>
  <c r="D128" i="324"/>
  <c r="D25" i="268" s="1"/>
  <c r="D64" i="324"/>
  <c r="D14" i="268" s="1"/>
  <c r="F34" i="318"/>
  <c r="H48" i="174"/>
  <c r="H10" i="174" s="1"/>
  <c r="C214" i="330"/>
  <c r="C42" i="241" s="1"/>
  <c r="C38" i="333"/>
  <c r="C45" i="333"/>
  <c r="C63" i="335"/>
  <c r="N23" i="317"/>
  <c r="I44" i="317"/>
  <c r="N9" i="317"/>
  <c r="C38" i="325"/>
  <c r="C114" i="325"/>
  <c r="I27" i="177"/>
  <c r="J27" i="177" s="1"/>
  <c r="I24" i="177"/>
  <c r="J24" i="177" s="1"/>
  <c r="D40" i="270"/>
  <c r="D59" i="270" s="1"/>
  <c r="D61" i="270" s="1"/>
  <c r="N35" i="317"/>
  <c r="L44" i="317"/>
  <c r="I167" i="323"/>
  <c r="J167" i="323" s="1"/>
  <c r="D28" i="324"/>
  <c r="I47" i="182"/>
  <c r="J47" i="182" s="1"/>
  <c r="C17" i="326"/>
  <c r="C7" i="326" s="1"/>
  <c r="C173" i="326" s="1"/>
  <c r="C76" i="333"/>
  <c r="C75" i="333" s="1"/>
  <c r="C103" i="335"/>
  <c r="I34" i="177"/>
  <c r="Q44" i="317"/>
  <c r="Q49" i="317" s="1"/>
  <c r="Q50" i="317" s="1"/>
  <c r="K40" i="270"/>
  <c r="J44" i="317"/>
  <c r="J21" i="317"/>
  <c r="J32" i="317" s="1"/>
  <c r="F44" i="317"/>
  <c r="N30" i="317"/>
  <c r="F21" i="317"/>
  <c r="F32" i="317" s="1"/>
  <c r="H47" i="270"/>
  <c r="I45" i="269"/>
  <c r="K136" i="324"/>
  <c r="K26" i="268" s="1"/>
  <c r="F47" i="324"/>
  <c r="H8" i="270"/>
  <c r="C58" i="323"/>
  <c r="C17" i="325"/>
  <c r="I8" i="177"/>
  <c r="J8" i="177" s="1"/>
  <c r="D43" i="268"/>
  <c r="I40" i="318"/>
  <c r="J40" i="318" s="1"/>
  <c r="C166" i="323"/>
  <c r="C31" i="272" s="1"/>
  <c r="K39" i="269"/>
  <c r="K55" i="269" s="1"/>
  <c r="K57" i="269" s="1"/>
  <c r="N19" i="317"/>
  <c r="A1" i="324" l="1"/>
  <c r="A1" i="268"/>
  <c r="E14" i="361"/>
  <c r="D14" i="361"/>
  <c r="F11" i="180"/>
  <c r="J10" i="180"/>
  <c r="H10" i="180"/>
  <c r="I10" i="180" s="1"/>
  <c r="B32" i="172"/>
  <c r="C13" i="361"/>
  <c r="F177" i="242"/>
  <c r="E13" i="361"/>
  <c r="E17" i="361" s="1"/>
  <c r="G221" i="324"/>
  <c r="F61" i="317"/>
  <c r="F49" i="317"/>
  <c r="D39" i="174"/>
  <c r="C46" i="178"/>
  <c r="C57" i="178" s="1"/>
  <c r="F39" i="174"/>
  <c r="E46" i="178"/>
  <c r="E57" i="178" s="1"/>
  <c r="C7" i="325"/>
  <c r="C172" i="325" s="1"/>
  <c r="D41" i="174" s="1"/>
  <c r="D27" i="174" s="1"/>
  <c r="D28" i="174"/>
  <c r="H46" i="267"/>
  <c r="I46" i="267" s="1"/>
  <c r="I34" i="241"/>
  <c r="J34" i="241" s="1"/>
  <c r="H33" i="241"/>
  <c r="I33" i="241" s="1"/>
  <c r="J33" i="241" s="1"/>
  <c r="H44" i="267"/>
  <c r="I44" i="267" s="1"/>
  <c r="I118" i="242"/>
  <c r="J118" i="242" s="1"/>
  <c r="G117" i="242"/>
  <c r="I117" i="242" s="1"/>
  <c r="J117" i="242" s="1"/>
  <c r="K41" i="241"/>
  <c r="K39" i="241" s="1"/>
  <c r="K197" i="330"/>
  <c r="K173" i="326"/>
  <c r="E125" i="330"/>
  <c r="I7" i="325"/>
  <c r="J7" i="325" s="1"/>
  <c r="E19" i="361"/>
  <c r="G46" i="174"/>
  <c r="G8" i="174" s="1"/>
  <c r="C24" i="241"/>
  <c r="C20" i="241" s="1"/>
  <c r="C99" i="330"/>
  <c r="H8" i="241"/>
  <c r="I10" i="330"/>
  <c r="J10" i="330" s="1"/>
  <c r="H6" i="330"/>
  <c r="K24" i="268"/>
  <c r="K39" i="268" s="1"/>
  <c r="K219" i="324"/>
  <c r="H32" i="267"/>
  <c r="I32" i="267" s="1"/>
  <c r="F33" i="267"/>
  <c r="H33" i="267" s="1"/>
  <c r="I33" i="267" s="1"/>
  <c r="E34" i="241"/>
  <c r="E33" i="241" s="1"/>
  <c r="E49" i="241" s="1"/>
  <c r="E148" i="330"/>
  <c r="E247" i="330" s="1"/>
  <c r="C33" i="172"/>
  <c r="G12" i="180"/>
  <c r="F10" i="268"/>
  <c r="F21" i="268" s="1"/>
  <c r="F111" i="324"/>
  <c r="D8" i="268"/>
  <c r="D21" i="268" s="1"/>
  <c r="D111" i="324"/>
  <c r="D46" i="174"/>
  <c r="D8" i="174" s="1"/>
  <c r="B19" i="361"/>
  <c r="E43" i="361"/>
  <c r="F26" i="175"/>
  <c r="F27" i="175" s="1"/>
  <c r="E53" i="172"/>
  <c r="E50" i="267"/>
  <c r="F18" i="272"/>
  <c r="F21" i="272" s="1"/>
  <c r="F111" i="323"/>
  <c r="C21" i="268"/>
  <c r="C40" i="268" s="1"/>
  <c r="K247" i="330"/>
  <c r="H30" i="361"/>
  <c r="F32" i="361"/>
  <c r="G8" i="272"/>
  <c r="G111" i="323"/>
  <c r="I28" i="323"/>
  <c r="J28" i="323" s="1"/>
  <c r="K11" i="241"/>
  <c r="K10" i="241" s="1"/>
  <c r="K26" i="330"/>
  <c r="K125" i="330" s="1"/>
  <c r="D173" i="335"/>
  <c r="C15" i="361" s="1"/>
  <c r="E18" i="241"/>
  <c r="E16" i="241" s="1"/>
  <c r="E26" i="241" s="1"/>
  <c r="E50" i="241" s="1"/>
  <c r="E75" i="330"/>
  <c r="J27" i="361"/>
  <c r="K56" i="318"/>
  <c r="K119" i="318" s="1"/>
  <c r="J39" i="361" s="1"/>
  <c r="K15" i="318"/>
  <c r="F7" i="174"/>
  <c r="F28" i="174"/>
  <c r="F7" i="333"/>
  <c r="F173" i="333" s="1"/>
  <c r="E23" i="361" s="1"/>
  <c r="D7" i="325"/>
  <c r="D172" i="325" s="1"/>
  <c r="E41" i="174" s="1"/>
  <c r="E27" i="174" s="1"/>
  <c r="B30" i="172"/>
  <c r="J8" i="180"/>
  <c r="I8" i="180"/>
  <c r="H8" i="180"/>
  <c r="D26" i="174"/>
  <c r="E13" i="174"/>
  <c r="E14" i="174"/>
  <c r="J128" i="324"/>
  <c r="I25" i="268"/>
  <c r="I11" i="241"/>
  <c r="J11" i="241" s="1"/>
  <c r="J12" i="268"/>
  <c r="I12" i="268"/>
  <c r="I13" i="268"/>
  <c r="J13" i="268" s="1"/>
  <c r="G21" i="268"/>
  <c r="G40" i="268" s="1"/>
  <c r="H20" i="241"/>
  <c r="I22" i="241"/>
  <c r="J22" i="241" s="1"/>
  <c r="C197" i="330"/>
  <c r="F50" i="317"/>
  <c r="I27" i="326"/>
  <c r="J27" i="326"/>
  <c r="H7" i="326"/>
  <c r="K44" i="241"/>
  <c r="K43" i="241" s="1"/>
  <c r="K221" i="330"/>
  <c r="J4" i="361"/>
  <c r="K221" i="323"/>
  <c r="H138" i="325"/>
  <c r="I138" i="325" s="1"/>
  <c r="I140" i="325"/>
  <c r="E17" i="174"/>
  <c r="E28" i="174"/>
  <c r="E26" i="174"/>
  <c r="E117" i="333"/>
  <c r="H27" i="361"/>
  <c r="J14" i="318"/>
  <c r="I27" i="361" s="1"/>
  <c r="J136" i="324"/>
  <c r="I26" i="268"/>
  <c r="D39" i="268"/>
  <c r="D40" i="268" s="1"/>
  <c r="I257" i="330"/>
  <c r="H8" i="361"/>
  <c r="B13" i="361"/>
  <c r="B10" i="361"/>
  <c r="D45" i="174"/>
  <c r="D7" i="174" s="1"/>
  <c r="C49" i="182"/>
  <c r="C52" i="182" s="1"/>
  <c r="C54" i="182" s="1"/>
  <c r="C57" i="182" s="1"/>
  <c r="C60" i="182" s="1"/>
  <c r="B18" i="267"/>
  <c r="B19" i="267" s="1"/>
  <c r="B20" i="267" s="1"/>
  <c r="B23" i="267" s="1"/>
  <c r="B25" i="267" s="1"/>
  <c r="F10" i="267"/>
  <c r="H10" i="267" s="1"/>
  <c r="I10" i="267" s="1"/>
  <c r="H11" i="267"/>
  <c r="I11" i="267" s="1"/>
  <c r="H173" i="333"/>
  <c r="B14" i="361"/>
  <c r="I8" i="269"/>
  <c r="G36" i="269"/>
  <c r="G57" i="269" s="1"/>
  <c r="G7" i="335"/>
  <c r="I27" i="335"/>
  <c r="J27" i="335" s="1"/>
  <c r="F13" i="241"/>
  <c r="F10" i="241" s="1"/>
  <c r="F26" i="330"/>
  <c r="G49" i="317"/>
  <c r="G50" i="317" s="1"/>
  <c r="G61" i="317"/>
  <c r="H37" i="270"/>
  <c r="H61" i="270" s="1"/>
  <c r="I8" i="270"/>
  <c r="K111" i="324"/>
  <c r="K221" i="324" s="1"/>
  <c r="K6" i="268"/>
  <c r="K21" i="268" s="1"/>
  <c r="C7" i="333"/>
  <c r="C173" i="333" s="1"/>
  <c r="B23" i="361" s="1"/>
  <c r="H14" i="267"/>
  <c r="D29" i="361"/>
  <c r="D32" i="361" s="1"/>
  <c r="E121" i="318"/>
  <c r="E35" i="318"/>
  <c r="H7" i="272"/>
  <c r="I20" i="323"/>
  <c r="J20" i="323" s="1"/>
  <c r="H111" i="323"/>
  <c r="I118" i="325"/>
  <c r="H117" i="325"/>
  <c r="I117" i="325" s="1"/>
  <c r="C111" i="324"/>
  <c r="C221" i="324" s="1"/>
  <c r="F27" i="272"/>
  <c r="F39" i="272" s="1"/>
  <c r="F219" i="323"/>
  <c r="E9" i="361" s="1"/>
  <c r="I38" i="242"/>
  <c r="J38" i="242" s="1"/>
  <c r="G7" i="242"/>
  <c r="H9" i="180"/>
  <c r="I9" i="180" s="1"/>
  <c r="B31" i="172"/>
  <c r="J9" i="180"/>
  <c r="D221" i="323"/>
  <c r="C4" i="361"/>
  <c r="G39" i="241"/>
  <c r="I41" i="241"/>
  <c r="J41" i="241" s="1"/>
  <c r="F121" i="318"/>
  <c r="F56" i="318"/>
  <c r="F119" i="318" s="1"/>
  <c r="E39" i="361" s="1"/>
  <c r="E29" i="361"/>
  <c r="E32" i="361" s="1"/>
  <c r="I8" i="333"/>
  <c r="J8" i="333" s="1"/>
  <c r="G7" i="333"/>
  <c r="G173" i="333" s="1"/>
  <c r="F23" i="361" s="1"/>
  <c r="C13" i="241"/>
  <c r="C10" i="241" s="1"/>
  <c r="C26" i="241" s="1"/>
  <c r="C26" i="330"/>
  <c r="J45" i="269"/>
  <c r="I55" i="269"/>
  <c r="J55" i="269" s="1"/>
  <c r="L49" i="317"/>
  <c r="L50" i="317" s="1"/>
  <c r="L61" i="317"/>
  <c r="I49" i="317"/>
  <c r="I50" i="317" s="1"/>
  <c r="I61" i="317"/>
  <c r="C47" i="241"/>
  <c r="C43" i="241" s="1"/>
  <c r="C221" i="330"/>
  <c r="I34" i="318"/>
  <c r="I121" i="318" s="1"/>
  <c r="H56" i="318"/>
  <c r="G29" i="361"/>
  <c r="H121" i="318"/>
  <c r="J34" i="318"/>
  <c r="I29" i="361" s="1"/>
  <c r="I32" i="361" s="1"/>
  <c r="C24" i="272"/>
  <c r="C39" i="272" s="1"/>
  <c r="C219" i="323"/>
  <c r="B9" i="361" s="1"/>
  <c r="D18" i="241"/>
  <c r="D16" i="241" s="1"/>
  <c r="D75" i="330"/>
  <c r="D125" i="330" s="1"/>
  <c r="H111" i="324"/>
  <c r="H6" i="268"/>
  <c r="F7" i="241"/>
  <c r="F6" i="241" s="1"/>
  <c r="F26" i="241" s="1"/>
  <c r="F50" i="241" s="1"/>
  <c r="F6" i="330"/>
  <c r="F125" i="330" s="1"/>
  <c r="J18" i="267"/>
  <c r="J19" i="267" s="1"/>
  <c r="J20" i="267" s="1"/>
  <c r="J23" i="267" s="1"/>
  <c r="J25" i="267" s="1"/>
  <c r="E117" i="335"/>
  <c r="E173" i="335" s="1"/>
  <c r="D15" i="361" s="1"/>
  <c r="D17" i="361" s="1"/>
  <c r="K99" i="330"/>
  <c r="K21" i="241"/>
  <c r="K20" i="241" s="1"/>
  <c r="K26" i="241" s="1"/>
  <c r="D7" i="333"/>
  <c r="D173" i="333" s="1"/>
  <c r="C23" i="361" s="1"/>
  <c r="I76" i="242"/>
  <c r="J76" i="242" s="1"/>
  <c r="J219" i="324"/>
  <c r="F39" i="361"/>
  <c r="D26" i="241"/>
  <c r="J63" i="268"/>
  <c r="I19" i="361" s="1"/>
  <c r="G19" i="361"/>
  <c r="C49" i="241"/>
  <c r="E26" i="268"/>
  <c r="E39" i="268" s="1"/>
  <c r="E40" i="268" s="1"/>
  <c r="E177" i="242" s="1"/>
  <c r="E219" i="324"/>
  <c r="E221" i="324" s="1"/>
  <c r="E18" i="267"/>
  <c r="E19" i="267" s="1"/>
  <c r="E20" i="267" s="1"/>
  <c r="E23" i="267" s="1"/>
  <c r="E25" i="267" s="1"/>
  <c r="F49" i="182"/>
  <c r="F52" i="182" s="1"/>
  <c r="F54" i="182" s="1"/>
  <c r="F57" i="182" s="1"/>
  <c r="F60" i="182" s="1"/>
  <c r="E10" i="361"/>
  <c r="F30" i="268"/>
  <c r="F39" i="268" s="1"/>
  <c r="F40" i="268" s="1"/>
  <c r="F219" i="324"/>
  <c r="C44" i="267"/>
  <c r="D39" i="177"/>
  <c r="D41" i="177" s="1"/>
  <c r="C46" i="267" s="1"/>
  <c r="H62" i="317"/>
  <c r="E173" i="333"/>
  <c r="D23" i="361" s="1"/>
  <c r="H46" i="174"/>
  <c r="H8" i="174" s="1"/>
  <c r="I63" i="268"/>
  <c r="H19" i="361" s="1"/>
  <c r="F19" i="361"/>
  <c r="D4" i="361"/>
  <c r="J42" i="361"/>
  <c r="J52" i="267"/>
  <c r="F34" i="241"/>
  <c r="F33" i="241" s="1"/>
  <c r="F49" i="241" s="1"/>
  <c r="F148" i="330"/>
  <c r="F247" i="330" s="1"/>
  <c r="C13" i="272"/>
  <c r="C21" i="272" s="1"/>
  <c r="C111" i="323"/>
  <c r="M62" i="317"/>
  <c r="F18" i="267"/>
  <c r="H18" i="267" s="1"/>
  <c r="I18" i="267" s="1"/>
  <c r="G45" i="174"/>
  <c r="G7" i="174" s="1"/>
  <c r="F10" i="361"/>
  <c r="I48" i="182"/>
  <c r="G49" i="182"/>
  <c r="D39" i="361"/>
  <c r="E120" i="318"/>
  <c r="D34" i="241"/>
  <c r="D33" i="241" s="1"/>
  <c r="D49" i="241" s="1"/>
  <c r="D148" i="330"/>
  <c r="D247" i="330" s="1"/>
  <c r="H247" i="330"/>
  <c r="J148" i="330"/>
  <c r="K7" i="333"/>
  <c r="K173" i="333" s="1"/>
  <c r="J23" i="361" s="1"/>
  <c r="J49" i="317"/>
  <c r="J50" i="317" s="1"/>
  <c r="J61" i="317"/>
  <c r="C7" i="335"/>
  <c r="C173" i="335" s="1"/>
  <c r="B15" i="361" s="1"/>
  <c r="G12" i="241"/>
  <c r="I12" i="241" s="1"/>
  <c r="J12" i="241" s="1"/>
  <c r="I49" i="330"/>
  <c r="J49" i="330" s="1"/>
  <c r="G26" i="330"/>
  <c r="C14" i="361"/>
  <c r="G7" i="326"/>
  <c r="G173" i="326" s="1"/>
  <c r="K59" i="270"/>
  <c r="K61" i="270" s="1"/>
  <c r="N21" i="317"/>
  <c r="N32" i="317" s="1"/>
  <c r="H7" i="268"/>
  <c r="I20" i="324"/>
  <c r="J20" i="324"/>
  <c r="D63" i="268"/>
  <c r="I47" i="270"/>
  <c r="J47" i="270" s="1"/>
  <c r="H59" i="270"/>
  <c r="N44" i="317"/>
  <c r="B30" i="361"/>
  <c r="B32" i="361" s="1"/>
  <c r="C121" i="318"/>
  <c r="C56" i="318"/>
  <c r="C119" i="318" s="1"/>
  <c r="B39" i="361" s="1"/>
  <c r="E55" i="318"/>
  <c r="C50" i="317"/>
  <c r="C52" i="317" s="1"/>
  <c r="D51" i="317" s="1"/>
  <c r="D52" i="317" s="1"/>
  <c r="E51" i="317" s="1"/>
  <c r="E52" i="317" s="1"/>
  <c r="F51" i="317" s="1"/>
  <c r="K121" i="318"/>
  <c r="J29" i="361"/>
  <c r="J32" i="361" s="1"/>
  <c r="G99" i="330"/>
  <c r="I99" i="330" s="1"/>
  <c r="J99" i="330" s="1"/>
  <c r="I100" i="330"/>
  <c r="J100" i="330" s="1"/>
  <c r="G21" i="241"/>
  <c r="B10" i="267"/>
  <c r="K173" i="335"/>
  <c r="J15" i="361" s="1"/>
  <c r="I130" i="326"/>
  <c r="J130" i="326" s="1"/>
  <c r="H117" i="326"/>
  <c r="I27" i="325"/>
  <c r="J27" i="325" s="1"/>
  <c r="H29" i="241"/>
  <c r="I30" i="241"/>
  <c r="J30" i="241" s="1"/>
  <c r="C148" i="330"/>
  <c r="C247" i="330" s="1"/>
  <c r="A1" i="241"/>
  <c r="A1" i="330"/>
  <c r="P62" i="317"/>
  <c r="P52" i="317"/>
  <c r="Q51" i="317" s="1"/>
  <c r="Q52" i="317" s="1"/>
  <c r="H39" i="268"/>
  <c r="J26" i="268"/>
  <c r="I75" i="242"/>
  <c r="J75" i="242" s="1"/>
  <c r="H172" i="242"/>
  <c r="G257" i="330"/>
  <c r="D219" i="324"/>
  <c r="D45" i="178"/>
  <c r="D46" i="178" s="1"/>
  <c r="D57" i="178" s="1"/>
  <c r="I7" i="324"/>
  <c r="J7" i="324" s="1"/>
  <c r="E219" i="323"/>
  <c r="D9" i="361" s="1"/>
  <c r="I29" i="272"/>
  <c r="G39" i="272"/>
  <c r="I62" i="317" l="1"/>
  <c r="K50" i="241"/>
  <c r="J62" i="317"/>
  <c r="G62" i="317"/>
  <c r="J3" i="361"/>
  <c r="K248" i="330"/>
  <c r="K256" i="330"/>
  <c r="E256" i="330"/>
  <c r="E248" i="330"/>
  <c r="D3" i="361"/>
  <c r="J8" i="269"/>
  <c r="I36" i="269"/>
  <c r="J7" i="326"/>
  <c r="H173" i="326"/>
  <c r="I7" i="326"/>
  <c r="K257" i="330"/>
  <c r="J8" i="361"/>
  <c r="J14" i="361"/>
  <c r="J17" i="361" s="1"/>
  <c r="K177" i="242"/>
  <c r="C17" i="361"/>
  <c r="E3" i="361"/>
  <c r="F256" i="330"/>
  <c r="F248" i="330"/>
  <c r="J8" i="270"/>
  <c r="I37" i="270"/>
  <c r="I117" i="326"/>
  <c r="J117" i="326"/>
  <c r="N61" i="317"/>
  <c r="N49" i="317"/>
  <c r="B4" i="361"/>
  <c r="C221" i="323"/>
  <c r="B18" i="361"/>
  <c r="C86" i="268"/>
  <c r="B28" i="267"/>
  <c r="D178" i="326"/>
  <c r="I49" i="182"/>
  <c r="J49" i="182" s="1"/>
  <c r="G52" i="182"/>
  <c r="C40" i="272"/>
  <c r="E28" i="267"/>
  <c r="F86" i="268"/>
  <c r="E18" i="361"/>
  <c r="I6" i="268"/>
  <c r="I21" i="268" s="1"/>
  <c r="H21" i="268"/>
  <c r="J21" i="268" s="1"/>
  <c r="G32" i="361"/>
  <c r="H29" i="361"/>
  <c r="H32" i="361" s="1"/>
  <c r="L62" i="317"/>
  <c r="F19" i="267"/>
  <c r="C178" i="326"/>
  <c r="F221" i="323"/>
  <c r="E4" i="361"/>
  <c r="D221" i="324"/>
  <c r="K49" i="241"/>
  <c r="D177" i="242"/>
  <c r="E178" i="326"/>
  <c r="H6" i="241"/>
  <c r="I8" i="241"/>
  <c r="J8" i="241" s="1"/>
  <c r="F12" i="180"/>
  <c r="J11" i="180"/>
  <c r="B33" i="172"/>
  <c r="H11" i="180"/>
  <c r="I11" i="180"/>
  <c r="H221" i="324"/>
  <c r="J111" i="324"/>
  <c r="H119" i="318"/>
  <c r="J56" i="318"/>
  <c r="I56" i="318"/>
  <c r="F52" i="317"/>
  <c r="G51" i="317" s="1"/>
  <c r="G52" i="317" s="1"/>
  <c r="H51" i="317" s="1"/>
  <c r="H52" i="317" s="1"/>
  <c r="I51" i="317" s="1"/>
  <c r="I52" i="317" s="1"/>
  <c r="J51" i="317" s="1"/>
  <c r="J52" i="317" s="1"/>
  <c r="K51" i="317" s="1"/>
  <c r="K52" i="317" s="1"/>
  <c r="L51" i="317" s="1"/>
  <c r="L52" i="317" s="1"/>
  <c r="M51" i="317" s="1"/>
  <c r="M52" i="317" s="1"/>
  <c r="N51" i="317" s="1"/>
  <c r="F62" i="317"/>
  <c r="F40" i="272"/>
  <c r="N50" i="317"/>
  <c r="E221" i="323"/>
  <c r="F18" i="361"/>
  <c r="F28" i="267"/>
  <c r="G86" i="268"/>
  <c r="D8" i="361"/>
  <c r="E257" i="330"/>
  <c r="F14" i="361"/>
  <c r="H10" i="361"/>
  <c r="J48" i="182"/>
  <c r="I10" i="361" s="1"/>
  <c r="G13" i="361"/>
  <c r="G125" i="330"/>
  <c r="I26" i="330"/>
  <c r="J26" i="330" s="1"/>
  <c r="J121" i="318"/>
  <c r="J111" i="323"/>
  <c r="I4" i="361" s="1"/>
  <c r="G4" i="361"/>
  <c r="H221" i="323"/>
  <c r="I7" i="333"/>
  <c r="J7" i="333" s="1"/>
  <c r="I111" i="323"/>
  <c r="H4" i="361" s="1"/>
  <c r="G221" i="323"/>
  <c r="F4" i="361"/>
  <c r="F221" i="324"/>
  <c r="D28" i="267"/>
  <c r="E86" i="268"/>
  <c r="D18" i="361"/>
  <c r="D86" i="268"/>
  <c r="C28" i="267"/>
  <c r="C18" i="361"/>
  <c r="C19" i="361"/>
  <c r="E46" i="174"/>
  <c r="E8" i="174" s="1"/>
  <c r="E8" i="361"/>
  <c r="F257" i="330"/>
  <c r="C257" i="330"/>
  <c r="B8" i="361"/>
  <c r="D50" i="241"/>
  <c r="D248" i="330"/>
  <c r="D256" i="330"/>
  <c r="C3" i="361"/>
  <c r="H257" i="330"/>
  <c r="J247" i="330"/>
  <c r="I8" i="361" s="1"/>
  <c r="G8" i="361"/>
  <c r="C125" i="330"/>
  <c r="G172" i="242"/>
  <c r="G178" i="326" s="1"/>
  <c r="I7" i="242"/>
  <c r="J7" i="242" s="1"/>
  <c r="I173" i="333"/>
  <c r="G23" i="361"/>
  <c r="C177" i="242"/>
  <c r="G10" i="241"/>
  <c r="I8" i="272"/>
  <c r="J8" i="272" s="1"/>
  <c r="G21" i="272"/>
  <c r="G40" i="272" s="1"/>
  <c r="K40" i="268"/>
  <c r="K178" i="326" s="1"/>
  <c r="I111" i="324"/>
  <c r="F178" i="326"/>
  <c r="J29" i="272"/>
  <c r="I39" i="272"/>
  <c r="J39" i="272" s="1"/>
  <c r="I29" i="241"/>
  <c r="H49" i="241"/>
  <c r="I21" i="241"/>
  <c r="G20" i="241"/>
  <c r="I7" i="268"/>
  <c r="J7" i="268"/>
  <c r="D257" i="330"/>
  <c r="C8" i="361"/>
  <c r="C50" i="241"/>
  <c r="I39" i="241"/>
  <c r="J39" i="241" s="1"/>
  <c r="G49" i="241"/>
  <c r="I7" i="272"/>
  <c r="H21" i="272"/>
  <c r="H40" i="272" s="1"/>
  <c r="G173" i="335"/>
  <c r="I7" i="335"/>
  <c r="J7" i="335" s="1"/>
  <c r="B17" i="361"/>
  <c r="I39" i="268"/>
  <c r="I40" i="268" s="1"/>
  <c r="H18" i="361" s="1"/>
  <c r="J25" i="268"/>
  <c r="G13" i="180"/>
  <c r="C34" i="172"/>
  <c r="H125" i="330"/>
  <c r="I6" i="330"/>
  <c r="J6" i="330" s="1"/>
  <c r="H172" i="325"/>
  <c r="I172" i="325" s="1"/>
  <c r="J172" i="325" s="1"/>
  <c r="I221" i="324"/>
  <c r="J29" i="241" l="1"/>
  <c r="I49" i="241"/>
  <c r="J49" i="241" s="1"/>
  <c r="H26" i="241"/>
  <c r="H50" i="241" s="1"/>
  <c r="I6" i="241"/>
  <c r="J221" i="324"/>
  <c r="F15" i="361"/>
  <c r="I173" i="335"/>
  <c r="H23" i="361"/>
  <c r="J173" i="333"/>
  <c r="I23" i="361" s="1"/>
  <c r="J221" i="323"/>
  <c r="G14" i="361"/>
  <c r="I173" i="326"/>
  <c r="H14" i="361" s="1"/>
  <c r="H178" i="326"/>
  <c r="I10" i="241"/>
  <c r="J10" i="241" s="1"/>
  <c r="G26" i="241"/>
  <c r="G50" i="241" s="1"/>
  <c r="G39" i="361"/>
  <c r="I119" i="318"/>
  <c r="J37" i="270"/>
  <c r="I61" i="270"/>
  <c r="J61" i="270" s="1"/>
  <c r="N62" i="317"/>
  <c r="N52" i="317"/>
  <c r="G3" i="361"/>
  <c r="J125" i="330"/>
  <c r="I3" i="361" s="1"/>
  <c r="H248" i="330"/>
  <c r="H256" i="330"/>
  <c r="I221" i="323"/>
  <c r="I125" i="330"/>
  <c r="F3" i="361"/>
  <c r="G248" i="330"/>
  <c r="I248" i="330" s="1"/>
  <c r="G256" i="330"/>
  <c r="F13" i="180"/>
  <c r="B34" i="172"/>
  <c r="J12" i="180"/>
  <c r="H12" i="180"/>
  <c r="I12" i="180"/>
  <c r="H40" i="268"/>
  <c r="H19" i="267"/>
  <c r="I19" i="267" s="1"/>
  <c r="F20" i="267"/>
  <c r="J36" i="269"/>
  <c r="I57" i="269"/>
  <c r="J57" i="269" s="1"/>
  <c r="J7" i="272"/>
  <c r="I21" i="272"/>
  <c r="J28" i="267"/>
  <c r="K86" i="268"/>
  <c r="J18" i="361"/>
  <c r="G177" i="242"/>
  <c r="F13" i="361"/>
  <c r="F17" i="361" s="1"/>
  <c r="I172" i="242"/>
  <c r="G54" i="182"/>
  <c r="G57" i="182" s="1"/>
  <c r="G60" i="182" s="1"/>
  <c r="I52" i="182"/>
  <c r="J52" i="182" s="1"/>
  <c r="G14" i="180"/>
  <c r="C35" i="172"/>
  <c r="J21" i="241"/>
  <c r="I20" i="241"/>
  <c r="J20" i="241" s="1"/>
  <c r="B3" i="361"/>
  <c r="C248" i="330"/>
  <c r="C256" i="330"/>
  <c r="G17" i="361"/>
  <c r="J6" i="268"/>
  <c r="J39" i="268"/>
  <c r="G18" i="361" l="1"/>
  <c r="H86" i="268"/>
  <c r="J40" i="268"/>
  <c r="I18" i="361" s="1"/>
  <c r="G28" i="267"/>
  <c r="H28" i="267" s="1"/>
  <c r="I28" i="267" s="1"/>
  <c r="H177" i="242"/>
  <c r="C36" i="172"/>
  <c r="G15" i="180"/>
  <c r="I256" i="330"/>
  <c r="H3" i="361"/>
  <c r="J173" i="326"/>
  <c r="I14" i="361" s="1"/>
  <c r="I26" i="241"/>
  <c r="J6" i="241"/>
  <c r="F23" i="267"/>
  <c r="H20" i="267"/>
  <c r="I20" i="267" s="1"/>
  <c r="J21" i="272"/>
  <c r="I40" i="272"/>
  <c r="J40" i="272" s="1"/>
  <c r="H39" i="361"/>
  <c r="J119" i="318"/>
  <c r="I39" i="361" s="1"/>
  <c r="H15" i="361"/>
  <c r="J173" i="335"/>
  <c r="I15" i="361" s="1"/>
  <c r="H13" i="361"/>
  <c r="H17" i="361" s="1"/>
  <c r="J172" i="242"/>
  <c r="I13" i="361" s="1"/>
  <c r="J248" i="330"/>
  <c r="J13" i="180"/>
  <c r="H13" i="180"/>
  <c r="B35" i="172"/>
  <c r="I13" i="180"/>
  <c r="F14" i="180"/>
  <c r="C37" i="172" l="1"/>
  <c r="G16" i="180"/>
  <c r="I17" i="361"/>
  <c r="F25" i="267"/>
  <c r="H25" i="267" s="1"/>
  <c r="I25" i="267" s="1"/>
  <c r="H23" i="267"/>
  <c r="I23" i="267" s="1"/>
  <c r="F15" i="180"/>
  <c r="H14" i="180"/>
  <c r="I14" i="180" s="1"/>
  <c r="B36" i="172"/>
  <c r="J14" i="180"/>
  <c r="I50" i="241"/>
  <c r="J50" i="241" s="1"/>
  <c r="J26" i="241"/>
  <c r="H15" i="180" l="1"/>
  <c r="I15" i="180" s="1"/>
  <c r="B37" i="172"/>
  <c r="J15" i="180"/>
  <c r="G17" i="180"/>
  <c r="C39" i="172" s="1"/>
  <c r="C38" i="172"/>
</calcChain>
</file>

<file path=xl/sharedStrings.xml><?xml version="1.0" encoding="utf-8"?>
<sst xmlns="http://schemas.openxmlformats.org/spreadsheetml/2006/main" count="5990" uniqueCount="2129">
  <si>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</si>
  <si>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</si>
  <si>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</si>
  <si>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</si>
  <si>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</si>
  <si>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</si>
  <si>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</si>
  <si>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</si>
  <si>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</si>
  <si>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</si>
  <si>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</si>
  <si>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</si>
  <si>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</si>
  <si>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</si>
  <si>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</si>
  <si>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</si>
  <si>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</si>
  <si>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</si>
  <si>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</si>
  <si>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</si>
  <si>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</si>
  <si>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</si>
  <si>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</si>
  <si>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</si>
  <si>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</si>
  <si>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</si>
  <si>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</si>
  <si>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</si>
  <si>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</si>
  <si>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</si>
  <si>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</si>
  <si>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</si>
  <si>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</si>
  <si>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</si>
  <si>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</si>
  <si>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</si>
  <si>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</si>
  <si>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</si>
  <si>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</si>
  <si>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</si>
  <si>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</si>
  <si>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</si>
  <si>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</si>
  <si>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</si>
  <si>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</si>
  <si>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</si>
  <si>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</si>
  <si>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</si>
  <si>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</si>
  <si>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</si>
  <si>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</si>
  <si>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</si>
  <si>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</si>
  <si>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</si>
  <si>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Increase (decrease) in consumer deposits</t>
  </si>
  <si>
    <t>6. Include finance leases and PPP capital funding component of unitary payment - total borrowing/repayments to reconcile to changes in Table SA17</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</si>
  <si>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</si>
  <si>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</si>
  <si>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</si>
  <si>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</si>
  <si>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</si>
  <si>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</si>
  <si>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</si>
  <si>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</si>
  <si>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</si>
  <si>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</si>
  <si>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</si>
  <si>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</si>
  <si>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</si>
  <si>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</si>
  <si>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</si>
  <si>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</si>
  <si>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</si>
  <si>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</si>
  <si>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</si>
  <si>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</si>
  <si>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</si>
  <si>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</si>
  <si>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</si>
  <si>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</si>
  <si>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</si>
  <si>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</si>
  <si>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</si>
  <si>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</si>
  <si>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</si>
  <si>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</si>
  <si>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</si>
  <si>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</si>
  <si>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</si>
  <si>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</si>
  <si>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</si>
  <si>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</si>
  <si>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</si>
  <si>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</si>
  <si>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</si>
  <si>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</si>
  <si>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</si>
  <si>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</si>
  <si>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</si>
  <si>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</si>
  <si>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</si>
  <si>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</si>
  <si>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</si>
  <si>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</si>
  <si>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</si>
  <si>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</si>
  <si>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</si>
  <si>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</si>
  <si>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</si>
  <si>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</si>
  <si>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</si>
  <si>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</si>
  <si>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</si>
  <si>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</si>
  <si>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</si>
  <si>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</si>
  <si>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</si>
  <si>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</si>
  <si>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</si>
  <si>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</si>
  <si>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</si>
  <si>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</si>
  <si>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</si>
  <si>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</si>
  <si>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</si>
  <si>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</si>
  <si>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</si>
  <si>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</si>
  <si>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</si>
  <si>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</si>
  <si>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</si>
  <si>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</si>
  <si>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</si>
  <si>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</si>
  <si>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</si>
  <si>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</si>
  <si>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</si>
  <si>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</si>
  <si>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</si>
  <si>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</si>
  <si>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</si>
  <si>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</si>
  <si>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</si>
  <si>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</si>
  <si>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</si>
  <si>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</si>
  <si>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</si>
  <si>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</si>
  <si>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</si>
  <si>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</si>
  <si>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</si>
  <si>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</si>
  <si>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</si>
  <si>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</si>
  <si>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</si>
  <si>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</si>
  <si>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</si>
  <si>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</si>
  <si>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</si>
  <si>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</si>
  <si>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</si>
  <si>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</si>
  <si>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</si>
  <si>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</si>
  <si>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</si>
  <si>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</si>
  <si>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</si>
  <si>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</si>
  <si>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</si>
  <si>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</si>
  <si>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</si>
  <si>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</si>
  <si>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</si>
  <si>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</si>
  <si>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</si>
  <si>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</si>
  <si>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</si>
  <si>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</si>
  <si>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</si>
  <si>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</si>
  <si>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</si>
  <si>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</si>
  <si>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</si>
  <si>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</si>
  <si>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</si>
  <si>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</si>
  <si>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</si>
  <si>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</si>
  <si>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</si>
  <si>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</si>
  <si>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</si>
  <si>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</si>
  <si>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</si>
  <si>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</si>
  <si>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</si>
  <si>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</si>
  <si>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</si>
  <si>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</si>
  <si>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</si>
  <si>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</si>
  <si>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</si>
  <si>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</si>
  <si>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</si>
  <si>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</si>
  <si>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</si>
  <si>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</si>
  <si>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</si>
  <si>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</si>
  <si>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</si>
  <si>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</si>
  <si>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</si>
  <si>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</si>
  <si>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</si>
  <si>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</si>
  <si>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</si>
  <si>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</si>
  <si>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</si>
  <si>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</si>
  <si>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</si>
  <si>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</si>
  <si>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</si>
  <si>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</si>
  <si>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</si>
  <si>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</si>
  <si>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</si>
  <si>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</si>
  <si>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</si>
  <si>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</si>
  <si>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</si>
  <si>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</si>
  <si>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</si>
  <si>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</si>
  <si>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</si>
  <si>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</si>
  <si>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</si>
  <si>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</si>
  <si>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</si>
  <si>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</si>
  <si>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</si>
  <si>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</si>
  <si>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</si>
  <si>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</si>
  <si>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</si>
  <si>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</si>
  <si>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</si>
  <si>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</si>
  <si>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</si>
  <si>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</si>
  <si>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</si>
  <si>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</si>
  <si>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</si>
  <si>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</si>
  <si>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</si>
  <si>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</si>
  <si>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</si>
  <si>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</si>
  <si>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</si>
  <si>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</si>
  <si>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</si>
  <si>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</si>
  <si>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</si>
  <si>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</si>
  <si>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</si>
  <si>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</si>
  <si>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</si>
  <si>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</si>
  <si>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</si>
  <si>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</si>
  <si>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</si>
  <si>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</si>
  <si>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</si>
  <si>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</si>
  <si>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</si>
  <si>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</si>
  <si>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</si>
  <si>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</si>
  <si>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</si>
  <si>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</si>
  <si>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</si>
  <si>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</si>
  <si>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</si>
  <si>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</si>
  <si>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</si>
  <si>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</si>
  <si>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</si>
  <si>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</si>
  <si>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</si>
  <si>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</si>
  <si>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</si>
  <si>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</si>
  <si>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</si>
  <si>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</si>
  <si>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</si>
  <si>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</si>
  <si>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</si>
  <si>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</si>
  <si>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</si>
  <si>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</si>
  <si>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</si>
  <si>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</si>
  <si>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</si>
  <si>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</si>
  <si>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</si>
  <si>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</si>
  <si>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</si>
  <si>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</si>
  <si>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</si>
  <si>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</si>
  <si>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</si>
  <si>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</si>
  <si>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</si>
  <si>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</si>
  <si>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</si>
  <si>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</si>
  <si>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</si>
  <si>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</si>
  <si>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</si>
  <si>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</si>
  <si>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</si>
  <si>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</si>
  <si>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</si>
  <si>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Province</t>
  </si>
  <si>
    <t>Web Address</t>
  </si>
  <si>
    <t>B. CONTACT INFORMATION</t>
  </si>
  <si>
    <t>City / Town</t>
  </si>
  <si>
    <t>Postal Code</t>
  </si>
  <si>
    <t>Building</t>
  </si>
  <si>
    <t>General Contacts</t>
  </si>
  <si>
    <t>C. POLITICAL LEADERSHIP</t>
  </si>
  <si>
    <t>D. MANAGEMENT LEADERSHIP</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</si>
  <si>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</si>
  <si>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</si>
  <si>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</si>
  <si>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</si>
  <si>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</si>
  <si>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</si>
  <si>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</si>
  <si>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</si>
  <si>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</si>
  <si>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</si>
  <si>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</si>
  <si>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</si>
  <si>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</si>
  <si>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</si>
  <si>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</si>
  <si>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</si>
  <si>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</si>
  <si>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</si>
  <si>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</si>
  <si>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</si>
  <si>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</si>
  <si>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</si>
  <si>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</si>
  <si>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</si>
  <si>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</si>
  <si>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</si>
  <si>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</si>
  <si>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</si>
  <si>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</si>
  <si>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</si>
  <si>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</si>
  <si>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</si>
  <si>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</si>
  <si>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</si>
  <si>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</si>
  <si>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</si>
  <si>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</si>
  <si>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</si>
  <si>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</si>
  <si>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</si>
  <si>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</si>
  <si>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</si>
  <si>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</si>
  <si>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</si>
  <si>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</si>
  <si>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</si>
  <si>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</si>
  <si>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</si>
  <si>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</si>
  <si>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</si>
  <si>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</si>
  <si>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</si>
  <si>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</si>
  <si>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</si>
  <si>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</si>
  <si>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</si>
  <si>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</si>
  <si>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</si>
  <si>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</si>
  <si>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</si>
  <si>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</si>
  <si>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</si>
  <si>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</si>
  <si>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</si>
  <si>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</si>
  <si>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</si>
  <si>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</si>
  <si>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</si>
  <si>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</si>
  <si>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</si>
  <si>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</si>
  <si>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</si>
  <si>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</si>
  <si>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</si>
  <si>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</si>
  <si>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</si>
  <si>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</si>
  <si>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</si>
  <si>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</si>
  <si>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</si>
  <si>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</si>
  <si>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</si>
  <si>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</si>
  <si>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</si>
  <si>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</si>
  <si>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</si>
  <si>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</si>
  <si>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</si>
  <si>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</si>
  <si>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</si>
  <si>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</si>
  <si>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</si>
  <si>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</si>
  <si>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</si>
  <si>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</si>
  <si>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</si>
  <si>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</si>
  <si>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</si>
  <si>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</si>
  <si>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</si>
  <si>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</si>
  <si>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</si>
  <si>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</si>
  <si>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</si>
  <si>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</si>
  <si>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</si>
  <si>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</si>
  <si>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</si>
  <si>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</si>
  <si>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</si>
  <si>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</si>
  <si>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</si>
  <si>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Expenditure By Type</t>
  </si>
  <si>
    <t>Total Expenditure</t>
  </si>
  <si>
    <t>Surplus/(Deficit)</t>
  </si>
  <si>
    <t>Basic Salaries and Wages</t>
  </si>
  <si>
    <t>Total outstanding service debtors/annual revenue received for services</t>
  </si>
  <si>
    <t>Financial position</t>
  </si>
  <si>
    <t>Cash flows</t>
  </si>
  <si>
    <t>Other own revenue</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</si>
  <si>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</si>
  <si>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</si>
  <si>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</si>
  <si>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</si>
  <si>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</si>
  <si>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</si>
  <si>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</si>
  <si>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</si>
  <si>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</si>
  <si>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</si>
  <si>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</si>
  <si>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</si>
  <si>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</si>
  <si>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</si>
  <si>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</si>
  <si>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</si>
  <si>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</si>
  <si>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</si>
  <si>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</si>
  <si>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</si>
  <si>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</si>
  <si>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</si>
  <si>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</si>
  <si>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</si>
  <si>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</si>
  <si>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</si>
  <si>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</si>
  <si>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</si>
  <si>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</si>
  <si>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</si>
  <si>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</si>
  <si>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</si>
  <si>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</si>
  <si>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</si>
  <si>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</si>
  <si>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</si>
  <si>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</si>
  <si>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</si>
  <si>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</si>
  <si>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</si>
  <si>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</si>
  <si>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</si>
  <si>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</si>
  <si>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</si>
  <si>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</si>
  <si>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</si>
  <si>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</si>
  <si>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</si>
  <si>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</si>
  <si>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</si>
  <si>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</si>
  <si>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</si>
  <si>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Head25</t>
  </si>
  <si>
    <t>fdil</t>
  </si>
  <si>
    <t>Head5A</t>
  </si>
  <si>
    <t>Outcome</t>
  </si>
  <si>
    <t>Expenditure By Municipal Entity</t>
  </si>
  <si>
    <t>Revenue By Municipal Entity</t>
  </si>
  <si>
    <t>Libraries</t>
  </si>
  <si>
    <t>Description of financial indicator</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</si>
  <si>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</si>
  <si>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</si>
  <si>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</si>
  <si>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</si>
  <si>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</si>
  <si>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</si>
  <si>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</si>
  <si>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</si>
  <si>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</si>
  <si>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</si>
  <si>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</si>
  <si>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</si>
  <si>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</si>
  <si>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</si>
  <si>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</si>
  <si>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</si>
  <si>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</si>
  <si>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</si>
  <si>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</si>
  <si>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</si>
  <si>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</si>
  <si>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</si>
  <si>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</si>
  <si>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</si>
  <si>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</si>
  <si>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</si>
  <si>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</si>
  <si>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</si>
  <si>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</si>
  <si>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Inventory</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</si>
  <si>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</si>
  <si>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</si>
  <si>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</si>
  <si>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</si>
  <si>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</si>
  <si>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</si>
  <si>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</si>
  <si>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</si>
  <si>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</si>
  <si>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</si>
  <si>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</si>
  <si>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</si>
  <si>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</si>
  <si>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</si>
  <si>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</si>
  <si>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</si>
  <si>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</si>
  <si>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</si>
  <si>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</si>
  <si>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</si>
  <si>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</si>
  <si>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</si>
  <si>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</si>
  <si>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</si>
  <si>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</si>
  <si>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</si>
  <si>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</si>
  <si>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</si>
  <si>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</si>
  <si>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</si>
  <si>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</si>
  <si>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</si>
  <si>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</si>
  <si>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</si>
  <si>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</si>
  <si>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</si>
  <si>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</si>
  <si>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</si>
  <si>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</si>
  <si>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</si>
  <si>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</si>
  <si>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</si>
  <si>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</si>
  <si>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</si>
  <si>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</si>
  <si>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</si>
  <si>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</si>
  <si>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</si>
  <si>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</si>
  <si>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</si>
  <si>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</si>
  <si>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</si>
  <si>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</si>
  <si>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</si>
  <si>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</si>
  <si>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</si>
  <si>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</si>
  <si>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</si>
  <si>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</si>
  <si>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</si>
  <si>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</si>
  <si>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</si>
  <si>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</si>
  <si>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</si>
  <si>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</si>
  <si>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</si>
  <si>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</si>
  <si>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</si>
  <si>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</si>
  <si>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</si>
  <si>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</si>
  <si>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</si>
  <si>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</si>
  <si>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</si>
  <si>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</si>
  <si>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</si>
  <si>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</si>
  <si>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</si>
  <si>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</si>
  <si>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</si>
  <si>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</si>
  <si>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</si>
  <si>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</si>
  <si>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</si>
  <si>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</si>
  <si>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</si>
  <si>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</si>
  <si>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</si>
  <si>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</si>
  <si>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</si>
  <si>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</si>
  <si>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</si>
  <si>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</si>
  <si>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</si>
  <si>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</si>
  <si>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</si>
  <si>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</si>
  <si>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</si>
  <si>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</si>
  <si>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</si>
  <si>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</si>
  <si>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</si>
  <si>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</si>
  <si>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</si>
  <si>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</si>
  <si>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</si>
  <si>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</si>
  <si>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</si>
  <si>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</si>
  <si>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</si>
  <si>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</si>
  <si>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</si>
  <si>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</si>
  <si>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</si>
  <si>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</si>
  <si>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</si>
  <si>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</si>
  <si>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</si>
  <si>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</si>
  <si>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</si>
  <si>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</si>
  <si>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</si>
  <si>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</si>
  <si>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</si>
  <si>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</si>
  <si>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</si>
  <si>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</si>
  <si>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</si>
  <si>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</si>
  <si>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</si>
  <si>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</si>
  <si>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</si>
  <si>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</si>
  <si>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</si>
  <si>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</si>
  <si>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</si>
  <si>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</si>
  <si>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</si>
  <si>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</si>
  <si>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</si>
  <si>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</si>
  <si>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</si>
  <si>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</si>
  <si>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</si>
  <si>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</si>
  <si>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</si>
  <si>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</si>
  <si>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</si>
  <si>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</si>
  <si>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</si>
  <si>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</si>
  <si>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</si>
  <si>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</si>
  <si>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</si>
  <si>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</si>
  <si>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</si>
  <si>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</si>
  <si>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</si>
  <si>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</si>
  <si>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</si>
  <si>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</si>
  <si>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</si>
  <si>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</si>
  <si>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</si>
  <si>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</si>
  <si>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</si>
  <si>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</si>
  <si>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</si>
  <si>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</si>
  <si>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</si>
  <si>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</si>
  <si>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</si>
  <si>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</si>
  <si>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</si>
  <si>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</si>
  <si>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</si>
  <si>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</si>
  <si>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</si>
  <si>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</si>
  <si>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</si>
  <si>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</si>
  <si>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</si>
  <si>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</si>
  <si>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</si>
  <si>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</si>
  <si>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</si>
  <si>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</si>
  <si>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</si>
  <si>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</si>
  <si>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</si>
  <si>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</si>
  <si>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</si>
  <si>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</si>
  <si>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</si>
  <si>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</si>
  <si>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</si>
  <si>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</si>
  <si>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</si>
  <si>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</si>
  <si>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</si>
  <si>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</si>
  <si>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</si>
  <si>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</si>
  <si>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</si>
  <si>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</si>
  <si>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</si>
  <si>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</si>
  <si>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</si>
  <si>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</si>
  <si>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</si>
  <si>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</si>
  <si>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</si>
  <si>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</si>
  <si>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</si>
  <si>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</si>
  <si>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</si>
  <si>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</si>
  <si>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</si>
  <si>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</si>
  <si>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</si>
  <si>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</si>
  <si>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</si>
  <si>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</si>
  <si>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</si>
  <si>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</si>
  <si>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</si>
  <si>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</si>
  <si>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</si>
  <si>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</si>
  <si>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</si>
  <si>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</si>
  <si>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Senior Managers of Entities</t>
  </si>
  <si>
    <t>Sub Total - Senior Managers of Entities</t>
  </si>
  <si>
    <t>Adjusted Budget</t>
  </si>
  <si>
    <t>Full Year Forecast</t>
  </si>
  <si>
    <t>CASH FLOW FROM OPERATING ACTIVITIES</t>
  </si>
  <si>
    <t>Employee related costs</t>
  </si>
  <si>
    <t>Remuneration of Councillors</t>
  </si>
  <si>
    <t>Contracted services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</si>
  <si>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</si>
  <si>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</si>
  <si>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</si>
  <si>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</si>
  <si>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</si>
  <si>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</si>
  <si>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</si>
  <si>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</si>
  <si>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</si>
  <si>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</si>
  <si>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</si>
  <si>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</si>
  <si>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</si>
  <si>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</si>
  <si>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</si>
  <si>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</si>
  <si>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</si>
  <si>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</si>
  <si>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</si>
  <si>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</si>
  <si>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</si>
  <si>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</si>
  <si>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</si>
  <si>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</si>
  <si>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</si>
  <si>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</si>
  <si>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</si>
  <si>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</si>
  <si>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</si>
  <si>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</si>
  <si>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</si>
  <si>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</si>
  <si>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</si>
  <si>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</si>
  <si>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</si>
  <si>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</si>
  <si>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</si>
  <si>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</si>
  <si>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</si>
  <si>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</si>
  <si>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</si>
  <si>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</si>
  <si>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</si>
  <si>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</si>
  <si>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</si>
  <si>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</si>
  <si>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</si>
  <si>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</si>
  <si>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</si>
  <si>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</si>
  <si>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</si>
  <si>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</si>
  <si>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</si>
  <si>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</si>
  <si>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</si>
  <si>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</si>
  <si>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</si>
  <si>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</si>
  <si>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</si>
  <si>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</si>
  <si>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</si>
  <si>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</si>
  <si>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</si>
  <si>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</si>
  <si>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</si>
  <si>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</si>
  <si>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</si>
  <si>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</si>
  <si>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</si>
  <si>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Total By Customer Type</t>
  </si>
  <si>
    <t>Proceeds on disposal of PPE</t>
  </si>
  <si>
    <t>2. Grant expenditure must be separately listed for each grant received</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</si>
  <si>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</si>
  <si>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</si>
  <si>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</si>
  <si>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</si>
  <si>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</si>
  <si>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</si>
  <si>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</si>
  <si>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</si>
  <si>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</si>
  <si>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</si>
  <si>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</si>
  <si>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</si>
  <si>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</si>
  <si>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</si>
  <si>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</si>
  <si>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</si>
  <si>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</si>
  <si>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</si>
  <si>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</si>
  <si>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</si>
  <si>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</si>
  <si>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</si>
  <si>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</si>
  <si>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</si>
  <si>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</si>
  <si>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</si>
  <si>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</si>
  <si>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</si>
  <si>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</si>
  <si>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</si>
  <si>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</si>
  <si>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</si>
  <si>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</si>
  <si>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</si>
  <si>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</si>
  <si>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</si>
  <si>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</si>
  <si>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</si>
  <si>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</si>
  <si>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</si>
  <si>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</si>
  <si>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</si>
  <si>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</si>
  <si>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</si>
  <si>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</si>
  <si>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</si>
  <si>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</si>
  <si>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</si>
  <si>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</si>
  <si>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</si>
  <si>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</si>
  <si>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</si>
  <si>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</si>
  <si>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</si>
  <si>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</si>
  <si>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</si>
  <si>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</si>
  <si>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</si>
  <si>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</si>
  <si>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</si>
  <si>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</si>
  <si>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</si>
  <si>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</si>
  <si>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</si>
  <si>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</si>
  <si>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</si>
  <si>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</si>
  <si>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</si>
  <si>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</si>
  <si>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</si>
  <si>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</si>
  <si>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</si>
  <si>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</si>
  <si>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</si>
  <si>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</si>
  <si>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</si>
  <si>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</si>
  <si>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</si>
  <si>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</si>
  <si>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</si>
  <si>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</si>
  <si>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</si>
  <si>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</si>
  <si>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</si>
  <si>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</si>
  <si>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14.10</t>
  </si>
  <si>
    <t>13.10</t>
  </si>
  <si>
    <t>12.10</t>
  </si>
  <si>
    <t>11.10</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</si>
  <si>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</si>
  <si>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</si>
  <si>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</si>
  <si>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</si>
  <si>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</si>
  <si>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</si>
  <si>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</si>
  <si>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</si>
  <si>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</si>
  <si>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</si>
  <si>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</si>
  <si>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</si>
  <si>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</si>
  <si>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</si>
  <si>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</si>
  <si>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</si>
  <si>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</si>
  <si>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</si>
  <si>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</si>
  <si>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</si>
  <si>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</si>
  <si>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</si>
  <si>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</si>
  <si>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</si>
  <si>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</si>
  <si>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</si>
  <si>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</si>
  <si>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</si>
  <si>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</si>
  <si>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</si>
  <si>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</si>
  <si>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</si>
  <si>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</si>
  <si>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</si>
  <si>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</si>
  <si>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</si>
  <si>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</si>
  <si>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</si>
  <si>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</si>
  <si>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</si>
  <si>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</si>
  <si>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</si>
  <si>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</si>
  <si>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</si>
  <si>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</si>
  <si>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</si>
  <si>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</si>
  <si>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</si>
  <si>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</si>
  <si>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</si>
  <si>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</si>
  <si>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</si>
  <si>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</si>
  <si>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</si>
  <si>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</si>
  <si>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</si>
  <si>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</si>
  <si>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</si>
  <si>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</si>
  <si>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</si>
  <si>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</si>
  <si>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</si>
  <si>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</si>
  <si>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</si>
  <si>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</si>
  <si>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</si>
  <si>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</si>
  <si>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</si>
  <si>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</si>
  <si>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</si>
  <si>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</si>
  <si>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</si>
  <si>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</si>
  <si>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</si>
  <si>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</si>
  <si>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</si>
  <si>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</si>
  <si>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</si>
  <si>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</si>
  <si>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</si>
  <si>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</si>
  <si>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</si>
  <si>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Title</t>
  </si>
  <si>
    <t>Fines, penalties and forfeits</t>
  </si>
  <si>
    <t>Transfers and subsidies</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</si>
  <si>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</si>
  <si>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</si>
  <si>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</si>
  <si>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</si>
  <si>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</si>
  <si>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</si>
  <si>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</si>
  <si>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</si>
  <si>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</si>
  <si>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</si>
  <si>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</si>
  <si>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</si>
  <si>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</si>
  <si>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</si>
  <si>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</si>
  <si>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</si>
  <si>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</si>
  <si>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</si>
  <si>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</si>
  <si>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</si>
  <si>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</si>
  <si>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</si>
  <si>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</si>
  <si>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</si>
  <si>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</si>
  <si>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</si>
  <si>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</si>
  <si>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</si>
  <si>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</si>
  <si>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</si>
  <si>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</si>
  <si>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</si>
  <si>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</si>
  <si>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</si>
  <si>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</si>
  <si>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</si>
  <si>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</si>
  <si>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</si>
  <si>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</si>
  <si>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</si>
  <si>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</si>
  <si>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</si>
  <si>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</si>
  <si>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</si>
  <si>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</si>
  <si>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</si>
  <si>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</si>
  <si>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</si>
  <si>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</si>
  <si>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</si>
  <si>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</si>
  <si>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</si>
  <si>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</si>
  <si>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</si>
  <si>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</si>
  <si>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</si>
  <si>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</si>
  <si>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</si>
  <si>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</si>
  <si>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</si>
  <si>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</si>
  <si>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</si>
  <si>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</si>
  <si>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</si>
  <si>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</si>
  <si>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</si>
  <si>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</si>
  <si>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</si>
  <si>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</si>
  <si>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</si>
  <si>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</si>
  <si>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</si>
  <si>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</si>
  <si>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</si>
  <si>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</si>
  <si>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</si>
  <si>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</si>
  <si>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</si>
  <si>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</si>
  <si>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</si>
  <si>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</si>
  <si>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</si>
  <si>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</si>
  <si>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</si>
  <si>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</si>
  <si>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</si>
  <si>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</si>
  <si>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</si>
  <si>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</si>
  <si>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</si>
  <si>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</si>
  <si>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</si>
  <si>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</si>
  <si>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</si>
  <si>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</si>
  <si>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</si>
  <si>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</si>
  <si>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</si>
  <si>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</si>
  <si>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</si>
  <si>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</si>
  <si>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</si>
  <si>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</si>
  <si>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</si>
  <si>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</si>
  <si>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</si>
  <si>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</si>
  <si>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</si>
  <si>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</si>
  <si>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</si>
  <si>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</si>
  <si>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</si>
  <si>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</si>
  <si>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</si>
  <si>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</si>
  <si>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</si>
  <si>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</si>
  <si>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</si>
  <si>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</si>
  <si>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</si>
  <si>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</si>
  <si>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</si>
  <si>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</si>
  <si>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</si>
  <si>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</si>
  <si>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</si>
  <si>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</si>
  <si>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</si>
  <si>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</si>
  <si>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</si>
  <si>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</si>
  <si>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</si>
  <si>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</si>
  <si>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</si>
  <si>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</si>
  <si>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</si>
  <si>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</si>
  <si>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</si>
  <si>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</si>
  <si>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</si>
  <si>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</si>
  <si>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</si>
  <si>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</si>
  <si>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</si>
  <si>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</si>
  <si>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</si>
  <si>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</si>
  <si>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</si>
  <si>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</si>
  <si>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</si>
  <si>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</si>
  <si>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</si>
  <si>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</si>
  <si>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</si>
  <si>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</si>
  <si>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</si>
  <si>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</si>
  <si>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</si>
  <si>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</si>
  <si>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</si>
  <si>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</si>
  <si>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</si>
  <si>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</si>
  <si>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</si>
  <si>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</si>
  <si>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</si>
  <si>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</si>
  <si>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</si>
  <si>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</si>
  <si>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</si>
  <si>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</si>
  <si>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</si>
  <si>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</si>
  <si>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</si>
  <si>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</si>
  <si>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</si>
  <si>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</si>
  <si>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</si>
  <si>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</si>
  <si>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</si>
  <si>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</si>
  <si>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</si>
  <si>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</si>
  <si>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</si>
  <si>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</si>
  <si>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</si>
  <si>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</si>
  <si>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</si>
  <si>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</si>
  <si>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</si>
  <si>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</si>
  <si>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</si>
  <si>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</si>
  <si>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</si>
  <si>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</si>
  <si>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</si>
  <si>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</si>
  <si>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</si>
  <si>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</si>
  <si>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</si>
  <si>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</si>
  <si>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</si>
  <si>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</si>
  <si>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</si>
  <si>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</si>
  <si>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</si>
  <si>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</si>
  <si>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</si>
  <si>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</si>
  <si>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</si>
  <si>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</si>
  <si>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</si>
  <si>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</si>
  <si>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</si>
  <si>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</si>
  <si>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</si>
  <si>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</si>
  <si>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</si>
  <si>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</si>
  <si>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</si>
  <si>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</si>
  <si>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</si>
  <si>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</si>
  <si>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</si>
  <si>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</si>
  <si>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</si>
  <si>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</si>
  <si>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</si>
  <si>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</si>
  <si>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</si>
  <si>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</si>
  <si>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</si>
  <si>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</si>
  <si>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</si>
  <si>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</si>
  <si>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</si>
  <si>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</si>
  <si>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</si>
  <si>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</si>
  <si>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</si>
  <si>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</si>
  <si>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</si>
  <si>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</si>
  <si>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</si>
  <si>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Decrease (increase) in non-current receivables</t>
  </si>
  <si>
    <t>Transfers and Subsidies - Operational</t>
  </si>
  <si>
    <t>Transfers and Subsidies - Capital</t>
  </si>
  <si>
    <t>Proceeds on Disposal of Fixed and Intangible Assets</t>
  </si>
  <si>
    <t>EC443 Winnie Madikizela Mandela</t>
  </si>
  <si>
    <t>Inventory consumed and bulk purchases</t>
  </si>
  <si>
    <t>Bulk purchases - electricity</t>
  </si>
  <si>
    <t>Inventory consumed</t>
  </si>
  <si>
    <t>Acquisitions - water &amp; other inventory</t>
  </si>
  <si>
    <t>Transfers and subsidies - Operational</t>
  </si>
  <si>
    <t>Depreciation and amortisation</t>
  </si>
  <si>
    <t>Revenue</t>
  </si>
  <si>
    <t>Exchange Revenue</t>
  </si>
  <si>
    <t xml:space="preserve">Service charges - Electricity </t>
  </si>
  <si>
    <t xml:space="preserve">Service charges - Water </t>
  </si>
  <si>
    <t>Service charges - Waste Water Management</t>
  </si>
  <si>
    <t>Service charges - Waste management</t>
  </si>
  <si>
    <t>Sale of Goods and Rendering of Services</t>
  </si>
  <si>
    <t>Interest earned from Receivables</t>
  </si>
  <si>
    <t>Rent on Land</t>
  </si>
  <si>
    <t>Rental from Fixed Assets</t>
  </si>
  <si>
    <t>Licence and permits</t>
  </si>
  <si>
    <t>Operational Revenue</t>
  </si>
  <si>
    <t>Non-Exchange Revenue</t>
  </si>
  <si>
    <t>Surcharges and Taxes</t>
  </si>
  <si>
    <t>Fuel Levy</t>
  </si>
  <si>
    <t>Gains on disposal of Assets</t>
  </si>
  <si>
    <t>Other Gains</t>
  </si>
  <si>
    <t>Discontinued Operations</t>
  </si>
  <si>
    <t>Irrecoverable debts written off</t>
  </si>
  <si>
    <t>Operational costs</t>
  </si>
  <si>
    <t>Losses on Disposal of Assets</t>
  </si>
  <si>
    <t>Other Losses</t>
  </si>
  <si>
    <t>Transfers and subsidies - capital (monetary allocations)</t>
  </si>
  <si>
    <t>Transfers and subsidies - capital (in-kind)</t>
  </si>
  <si>
    <t>Income Tax</t>
  </si>
  <si>
    <t>Surplus/(Deficit) after income tax</t>
  </si>
  <si>
    <t>Share of Surplus/Deficit attributable to Joint Venture</t>
  </si>
  <si>
    <t>Share of Surplus/Deficit attributable to Minorities</t>
  </si>
  <si>
    <t>Share of Surplus/Deficit attributable to Associate</t>
  </si>
  <si>
    <t>Intercompany/Parent subsidiary transactions</t>
  </si>
  <si>
    <t>7. Total Capital Funding must balance with Total Capital Expenditure</t>
  </si>
  <si>
    <t>Cash and cash equivalents</t>
  </si>
  <si>
    <t>Trade and other receivables from exchange transactions</t>
  </si>
  <si>
    <t>Receivables from non-exchange transactions</t>
  </si>
  <si>
    <t>Current portion of non-current receivables</t>
  </si>
  <si>
    <t>VAT</t>
  </si>
  <si>
    <t>Other current assets</t>
  </si>
  <si>
    <t>Biological assets</t>
  </si>
  <si>
    <t>Living and non-living resources</t>
  </si>
  <si>
    <t>Intangible assets</t>
  </si>
  <si>
    <t>Non-current receivables from non-exchange transactions</t>
  </si>
  <si>
    <t>Financial liabilities</t>
  </si>
  <si>
    <t>Trade and other payables from exchange transactions</t>
  </si>
  <si>
    <t>Trade and other payables from non-exchange transactions</t>
  </si>
  <si>
    <t>Provision</t>
  </si>
  <si>
    <t>Other current liabilities</t>
  </si>
  <si>
    <t>Long term portion of trade payables</t>
  </si>
  <si>
    <t>Other non-current liabilities</t>
  </si>
  <si>
    <t>Accumulated surplus/(deficit)</t>
  </si>
  <si>
    <t>Reserves and funds</t>
  </si>
  <si>
    <t>Transfers and Subsidies</t>
  </si>
  <si>
    <t>Entertainment</t>
  </si>
  <si>
    <t>Scarcity</t>
  </si>
  <si>
    <t>Acting and post related allowance</t>
  </si>
  <si>
    <t>In kind benefits</t>
  </si>
  <si>
    <t>Sub Total - Executive members Board</t>
  </si>
  <si>
    <t>Service charges - Waste Mangement</t>
  </si>
  <si>
    <t>Transfers and subsidies - other municipalities</t>
  </si>
  <si>
    <t>Transfers and subsidies - other</t>
  </si>
  <si>
    <t>Licences or permits</t>
  </si>
  <si>
    <t>Transfer and subsidies - Operational</t>
  </si>
  <si>
    <t>Losses on disposal of Assets</t>
  </si>
  <si>
    <t>Living resources</t>
  </si>
  <si>
    <t>Mature</t>
  </si>
  <si>
    <t>Policing and Protection</t>
  </si>
  <si>
    <t>Zoological plants and animals</t>
  </si>
  <si>
    <t>Immature</t>
  </si>
  <si>
    <t>Total Capital Expenditure on renewal of existing assets</t>
  </si>
  <si>
    <t>Service charges - Electricity revenue</t>
  </si>
  <si>
    <t>Service charges - Water revenue</t>
  </si>
  <si>
    <t>Interest earned - external investments</t>
  </si>
  <si>
    <t>Interest earned - outstanding debtors</t>
  </si>
  <si>
    <t>Dividends received</t>
  </si>
  <si>
    <t>Licences and permits</t>
  </si>
  <si>
    <t>Transfers and subsidies - capital (monetary allocations) (National / Provincial and District)</t>
  </si>
  <si>
    <t>Transfers and subsidies - capital (monetary allocations) (Nat / Prov Departm Agencies, Households, Non-profit Institutions, Private Enterprises, Public Corporatons, Higher Educ Institutions)</t>
  </si>
  <si>
    <t>Interest from Current and Non Current Assets</t>
  </si>
  <si>
    <t>Interest earned from Current and Non Current Assets</t>
  </si>
  <si>
    <t>A. Audited actual 2022/23 (audited financial statements). If audited amounts unavailable, unaudited amounts must be provided with a note stating these are unaudited</t>
  </si>
  <si>
    <t>B. The original budget approved by council for the 2023/24 budget year.</t>
  </si>
  <si>
    <t>C. The budget for 2023/24 budget year as adjusted by council resolution in terms of section 28 of the MFMA.</t>
  </si>
  <si>
    <t>5. Included in Contracted services</t>
  </si>
  <si>
    <t>1.11</t>
  </si>
  <si>
    <t>1.12</t>
  </si>
  <si>
    <t>FX005001014 - Valuation Service (Finance and Administration) - BR</t>
  </si>
  <si>
    <t>FX007001001 - Housing (Housing) - BT</t>
  </si>
  <si>
    <t>FX009002006 - Tourism (Other) - BX</t>
  </si>
  <si>
    <t>FX010001002 - Corporate Wide Strategic Planning (IDPs, LEDs) (Planning and Development) - BZ</t>
  </si>
  <si>
    <t>FX010001004 - Development Facilitation (Planning and Deveopment) - CA</t>
  </si>
  <si>
    <t>FX010001005 - Economic Development/Planning (Planning and Development) - CC</t>
  </si>
  <si>
    <t>FX010001006 - Town Planning, Building Regulations and Enforcement, and City Engineer (Planning and Development) - CD</t>
  </si>
  <si>
    <t>FX003001003 - Pollution Control (Environmental Protection) - AR</t>
  </si>
  <si>
    <t>FX005001010 - Property Services (Finance and Administration) - BN</t>
  </si>
  <si>
    <t>FX009001004 - Licensing and Regulation (Other) - BW</t>
  </si>
  <si>
    <t>FX012001003001 - Public Transport Facilities and Operations Coordination (Road Transport) - DX</t>
  </si>
  <si>
    <t>FX010001007003 - Project Management Unit - Expanded Public Works Programme (Planning and Development) - CG</t>
  </si>
  <si>
    <t>CITY DEVELOPMENT</t>
  </si>
  <si>
    <t>COMMUNITY SERVICES - PUBLIC HEALTH AND EMERGENCY SERVICES</t>
  </si>
  <si>
    <t>FX001002008 - Disaster Management (Community and Social Services) - AH</t>
  </si>
  <si>
    <t>FX011001005 - Fire Fighting and Protection (Public Safety) - CK</t>
  </si>
  <si>
    <t>FX012001005 - Taxi Ranks (Road Transport) - CP</t>
  </si>
  <si>
    <t>FX014001003 - Solid Waste Removal (Waste Management) - DC</t>
  </si>
  <si>
    <t>FX014001004 - Street Cleansing (Waste Management) - DE</t>
  </si>
  <si>
    <t>FX015001001 - Public Toilets (Waste Water Management) - DF</t>
  </si>
  <si>
    <t>FX006001001 - Public Health and Emergency Services (Environmental Protection) - DY</t>
  </si>
  <si>
    <t>1.1 - FX005001014 - Valuation Service (Finance and Administration) - BR</t>
  </si>
  <si>
    <t>1.2 - FX007001001 - Housing (Housing) - BT</t>
  </si>
  <si>
    <t>1.3 - FX009002006 - Tourism (Other) - BX</t>
  </si>
  <si>
    <t>2,1 - FX001002008 - Disaster Management (Community and Social Services) - AH</t>
  </si>
  <si>
    <t>2,2 - FX011001005 - Fire Fighting and Protection (Public Safety) - CK</t>
  </si>
  <si>
    <t>2,3 - FX012001005 - Taxi Ranks (Road Transport) - CP</t>
  </si>
  <si>
    <t>2,4 - FX014001003 - Solid Waste Removal (Waste Management) - DC</t>
  </si>
  <si>
    <t>2,5 - FX014001004 - Street Cleansing (Waste Management) - DE</t>
  </si>
  <si>
    <t>2,6 - FX015001001 - Public Toilets (Waste Water Management) - DF</t>
  </si>
  <si>
    <t>2,7 - FX006001001 - Public Health and Emergency Services (Environmental Protection) - DY</t>
  </si>
  <si>
    <t>COMMUNITY SERVICES - PROTECTION SERVICES</t>
  </si>
  <si>
    <t>FX005001012 - Security Services (Finance and Administration) - BP</t>
  </si>
  <si>
    <t>FX011001007 - Police Forces, Traffic and Street Parking Control (Road Transport) - CQ</t>
  </si>
  <si>
    <t>FX012002001 - Road and Traffic Regulation (Road Transport) - CR</t>
  </si>
  <si>
    <t>FX011001006 - Public Safety Licensing and Control of Animals - CU</t>
  </si>
  <si>
    <t>3,1 - FX005001012 - Security Services (Finance and Administration) - BP</t>
  </si>
  <si>
    <t>3,2 - FX011001007 - Police Forces, Traffic and Street Parking Control (Road Transport) - CQ</t>
  </si>
  <si>
    <t>3,3 - FX012002001 - Road and Traffic Regulation (Road Transport) - CR</t>
  </si>
  <si>
    <t>3,4 - FX011001006 - Public Safety Licensing and Control of Animals - CU</t>
  </si>
  <si>
    <t>4.11</t>
  </si>
  <si>
    <t>4.12</t>
  </si>
  <si>
    <t>4.13</t>
  </si>
  <si>
    <t>COMMUNITY SERVICES - RECREATIONAL AND ENVIRONMENTAL SERVICES</t>
  </si>
  <si>
    <t>FX001001003 - Cemeteries, Funeral Parlours and Crematoriums (Community and Social Services) - AA</t>
  </si>
  <si>
    <t>FX001001005002 - Halls (Community and Social Services) - AC</t>
  </si>
  <si>
    <t>FX001001006001 - Libraries and Archives (Community and Social Services) - AE</t>
  </si>
  <si>
    <t>FX001001006002 - Cyber Cadets (Community and Social Services) - AF</t>
  </si>
  <si>
    <t>FX001001008 - Museums and Art Galleries (Community and Social Services) - AG</t>
  </si>
  <si>
    <t>FX001002007 - Cultural Matters (Community and Social Services) - CV</t>
  </si>
  <si>
    <t>FX013001001 - Beaches and Jetties (Community and Social Services) - CS</t>
  </si>
  <si>
    <t>FX013001002 - Community Parks (including Nurseries) (Sport and Recreation) - CT</t>
  </si>
  <si>
    <t>FX013002003001 - Recreational Facilities - Caravan Park (Sport and Recreation) - CW</t>
  </si>
  <si>
    <t>FX013002003002 - Recreational Facilities - Parks Administration (Sport and Recreation) - CX</t>
  </si>
  <si>
    <t>FX013002003003 - Recreational Facilities - Swimming Pools (Sport and Recreation) - CY</t>
  </si>
  <si>
    <t>FX013002004001 - Sport Development and Sportfields (Sport and Recreation) - CZ</t>
  </si>
  <si>
    <t>FX013002004002 - Sports Grounds and Stadiums -Stadiums (Sport and Recreation) - DB</t>
  </si>
  <si>
    <t>4,1 - FX001001003 - Cemeteries, Funeral Parlours and Crematoriums (Community and Social Services) - AA</t>
  </si>
  <si>
    <t>4,2 - FX001001005002 - Halls (Community and Social Services) - AC</t>
  </si>
  <si>
    <t>4,3 - FX001001006001 - Libraries and Archives (Community and Social Services) - AE</t>
  </si>
  <si>
    <t>4,4 - FX001001006002 - Cyber Cadets (Community and Social Services) - AF</t>
  </si>
  <si>
    <t>4,5 - FX001001008 - Museums and Art Galleries (Community and Social Services) - AG</t>
  </si>
  <si>
    <t>4,6 - FX001002007 - Cultural Matters (Community and Social Services) - CV</t>
  </si>
  <si>
    <t>4,7 - FX013001001 - Beaches and Jetties (Community and Social Services) - CS</t>
  </si>
  <si>
    <t>4,8 - FX013001002 - Community Parks (including Nurseries) (Sport and Recreation) - CT</t>
  </si>
  <si>
    <t>4,9 - FX013002003001 - Recreational Facilities - Caravan Park (Sport and Recreation) - CW</t>
  </si>
  <si>
    <t>4.10 - FX013002003002 - Recreational Facilities - Parks Administration (Sport and Recreation) - CX</t>
  </si>
  <si>
    <t>4.11 - FX013002003003 - Recreational Facilities - Swimming Pools (Sport and Recreation) - CY</t>
  </si>
  <si>
    <t>4.12 - FX013002004001 - Sport Development and Sportfields (Sport and Recreation) - CZ</t>
  </si>
  <si>
    <t>4.13 - FX013002004002 - Sports Grounds and Stadiums -Stadiums (Sport and Recreation) - DB</t>
  </si>
  <si>
    <t>CORPORATE SERVICES - ADMINISTRATION</t>
  </si>
  <si>
    <t>FX001001005003 - Municipal Buildings (Community and Social Services) - AD</t>
  </si>
  <si>
    <t>FX004001001001 - Mayor and Council (Executive and Council) - AS</t>
  </si>
  <si>
    <t>FX005001001 - Administrative and Corporate Support (Finance and Administration) - BB</t>
  </si>
  <si>
    <t>FX009001002 - Air Transport (Other) - BV</t>
  </si>
  <si>
    <t>5.1 - FX001001005003 - Municipal Buildings (Community and Social Services) - AD</t>
  </si>
  <si>
    <t>CORPORATE SERVICES - INFORMATION COMMUNICATION TECHNOLOGY</t>
  </si>
  <si>
    <t>FX005001007 - Information Technology (Finance and Administration) - BK</t>
  </si>
  <si>
    <t>6,1 - FX005001007 - Information Technology (Finance and Administration) - BK</t>
  </si>
  <si>
    <t>CORPORATE SERVICES - HUMAN RESOURCES</t>
  </si>
  <si>
    <t>FX005001006001 - Human Resources (Finance and Administration) - BG</t>
  </si>
  <si>
    <t>FX005001006002 - Management Services  (Finance and Administration) - BH</t>
  </si>
  <si>
    <t>FX005001006004 - Training and Industrial Relations (Finance and Administration) - BJ</t>
  </si>
  <si>
    <t>FX005001006003 - Occupational Clinic (Finance and Administration) - BI</t>
  </si>
  <si>
    <t>7,1 - FX005001006001 - Human Resources (Finance and Administration) - BG</t>
  </si>
  <si>
    <t>7,2 - FX005001006002 - Management Services  (Finance and Administration) - BH</t>
  </si>
  <si>
    <t>7,3 - FX005001006004 - Training and Industrial Relations (Finance and Administration) - BJ</t>
  </si>
  <si>
    <t>7,4 - FX005001006003 - Occupational Clinic (Finance and Administration) - BI</t>
  </si>
  <si>
    <t>FINANCIAL SERVICES</t>
  </si>
  <si>
    <t>FX005001004001 - Financial Management Grant Interns (Finance and Administration) - DR</t>
  </si>
  <si>
    <t>FX005001004002 - Revenue and Expenditure (Finance and Administration) - DS</t>
  </si>
  <si>
    <t>FX005001004003 - Finance (Finance and Adminstration) - DT</t>
  </si>
  <si>
    <t>FX005001013 - Supply Chain Management (Finance and Administration) - BQ</t>
  </si>
  <si>
    <t>FX005002001 - Asset Management (Finance and Administration) - BS</t>
  </si>
  <si>
    <t>8,1 - FX005001004001 - Financial Management Grant Interns (Finance and Administration) - DR</t>
  </si>
  <si>
    <t>8,2 - FX005001004002 - Revenue and Expenditure (Finance and Administration) - DS</t>
  </si>
  <si>
    <t>8,3 - FX005001004003 - Finance (Finance and Adminstration) - DT</t>
  </si>
  <si>
    <t>8,4 - FX005001013 - Supply Chain Management (Finance and Administration) - BQ</t>
  </si>
  <si>
    <t>8,5 - FX005002001 - Asset Management (Finance and Administration) - BS</t>
  </si>
  <si>
    <t>ELECTRICAL AND ENERGY SUPPLY SERVICES</t>
  </si>
  <si>
    <t>FX002001001001 - Marketing and Customer relations (Energy Sources) - AI</t>
  </si>
  <si>
    <t>FX002001001002 - Administration (Energy Sources) - AJ</t>
  </si>
  <si>
    <t>FX002001001004 - Electricity Distribution (Energy Sources) - AL</t>
  </si>
  <si>
    <t>FX002001001005 - Electricity Planning (Energy Sources) - AN</t>
  </si>
  <si>
    <t>FX002001002001 - Street Lighting (Energy Sources) - AP</t>
  </si>
  <si>
    <t>FX002001002002 - Process Control Systems (Energy Sources) - AQ</t>
  </si>
  <si>
    <t>FX005001005 - Fleet Management (Finance and Administration) - BF</t>
  </si>
  <si>
    <t>9,1 - FX002001001001 - Marketing and Customer relations (Energy Sources) - AI</t>
  </si>
  <si>
    <t>9,2 - FX002001001002 - Administration (Energy Sources) - AJ</t>
  </si>
  <si>
    <t>9,3 - FX002001001004 - Electricity Distribution (Energy Sources) - AL</t>
  </si>
  <si>
    <t>9,4 - FX002001001005 - Electricity Planning (Energy Sources) - AN</t>
  </si>
  <si>
    <t>9,5 - FX002001002001 - Street Lighting (Energy Sources) - AP</t>
  </si>
  <si>
    <t>9,6 - FX002001002002 - Process Control Systems (Energy Sources) - AQ</t>
  </si>
  <si>
    <t>9,7 - FX005001005 - Fleet Management (Finance and Administration) - BF</t>
  </si>
  <si>
    <t>INFRASTRUCTURE SERVICES - INFRASTRUCTURE AND FACILITIES MANAGEMENT SERVICES</t>
  </si>
  <si>
    <t>FX001001005001 - Buildings Maintenance (Community and Social Services) - AB</t>
  </si>
  <si>
    <t>FX010001007002 - Project Management Unit - Asset Management (Planning and Development) - CF</t>
  </si>
  <si>
    <t>10.1 - FX001001005001 - Buildings Maintenance (Community and Social Services) - AB</t>
  </si>
  <si>
    <t>10.2 - FX010001007002 - Project Management Unit - Asset Management (Planning and Development) - CF</t>
  </si>
  <si>
    <t>11.11</t>
  </si>
  <si>
    <t>11.12</t>
  </si>
  <si>
    <t>11.13</t>
  </si>
  <si>
    <t>INFRASTRUCTURE SERVICES - CIVIL ENGINEERING SERVICES</t>
  </si>
  <si>
    <t>FX012001004001 - Roads - Railway Sidings (Road Transport) - CM</t>
  </si>
  <si>
    <t>FX012001004002 - Roads - Urban Roads (Road Transport) - CN</t>
  </si>
  <si>
    <t>FX012001004003 - Roads - Rural Roads (Road Transport) - CO</t>
  </si>
  <si>
    <t>FX015001003 - Storm Water Management (Waste Water Management) - DJ</t>
  </si>
  <si>
    <t>FX003001002 - Coastal Protection (Environmental Protection) - DU</t>
  </si>
  <si>
    <t>FX015001002001 - Sewerage - Industrial Effluent Pipeline (Waste Water Management) - DG</t>
  </si>
  <si>
    <t>FX015001002002 - Sewerage - Pumpstations (Waste Water Management) - DH</t>
  </si>
  <si>
    <t>FX015001002003 - Sewerage - Sewerage Network (Waste Water Management) - DI</t>
  </si>
  <si>
    <t>FX015001004 - Treatment (Waste Water Management) - DK</t>
  </si>
  <si>
    <t>FX016001002004 - Water Distribution (Clarified Water) - DP</t>
  </si>
  <si>
    <t>FX016001002005 - Water Distibution (Purification Works) - DQ</t>
  </si>
  <si>
    <t>FX016001002001 - Water Distribution - Rural Water (Water Management) - DM</t>
  </si>
  <si>
    <t>FX016001002002 - Water Distribution - Urban Water (Water Management) - DN</t>
  </si>
  <si>
    <t>11.1 - FX012001004001 - Roads - Railway Sidings (Road Transport) - CM</t>
  </si>
  <si>
    <t>11.2 - FX012001004002 - Roads - Urban Roads (Road Transport) - CN</t>
  </si>
  <si>
    <t>11.3 - FX012001004003 - Roads - Rural Roads (Road Transport) - CO</t>
  </si>
  <si>
    <t>11.4 - FX015001003 - Storm Water Management (Waste Water Management) - DJ</t>
  </si>
  <si>
    <t>11.5 - FX003001002 - Coastal Protection (Environmental Protection) - DU</t>
  </si>
  <si>
    <t>11.6 - FX015001002001 - Sewerage - Industrial Effluent Pipeline (Waste Water Management) - DG</t>
  </si>
  <si>
    <t>11.7 - FX015001002002 - Sewerage - Pumpstations (Waste Water Management) - DH</t>
  </si>
  <si>
    <t>11.8 - FX015001002003 - Sewerage - Sewerage Network (Waste Water Management) - DI</t>
  </si>
  <si>
    <t>11.9 - FX015001004 - Treatment (Waste Water Management) - DK</t>
  </si>
  <si>
    <t>11.10 - FX016001002004 - Water Distribution (Clarified Water) - DP</t>
  </si>
  <si>
    <t>11.11 - FX016001002005 - Water Distibution (Purification Works) - DQ</t>
  </si>
  <si>
    <t>11.12 - FX016001002001 - Water Distribution - Rural Water (Water Management) - DM</t>
  </si>
  <si>
    <t>11.13 - FX016001002002 - Water Distribution - Urban Water (Water Management) - DN</t>
  </si>
  <si>
    <t>INFRASTRUCTURE SERVICES - ENGINEERING SERVICES</t>
  </si>
  <si>
    <t>FX010001007001 - Project Management Unit - Administration (Planning and Development) - CE</t>
  </si>
  <si>
    <t>FX010001007005 - Project Management Unit - PMU (Planning and Development) - CI</t>
  </si>
  <si>
    <t>12.1 - FX010001007001 - Project Management Unit - Administration (Planning and Development) - CE</t>
  </si>
  <si>
    <t>12.2 - FX010001007005 - Project Management Unit - PMU (Planning and Development) - CI</t>
  </si>
  <si>
    <t>OFFICE OF THE MUNICIPAL MANAGER</t>
  </si>
  <si>
    <t>FX004001002001 - DMM - Corporate Services (Executive and Council) - AU</t>
  </si>
  <si>
    <t>FX004001002002 - DMM - ITS (Executive and Council) - AV</t>
  </si>
  <si>
    <t>FX004001002003 -  DMM - City Development (Executive and Council) - AW</t>
  </si>
  <si>
    <t>FX004001002004 - DMM - Community Services (Executive and Council) - AX</t>
  </si>
  <si>
    <t>FX004001002005 -  Municipal Manager (Executive and Council) - AY</t>
  </si>
  <si>
    <t>FX004001002007 - Performance Management (Executive and Council) - BA</t>
  </si>
  <si>
    <t>FX005001009 - Marketing, Customer Relations, Publicity and Media Co-ordination (Finance and Administration) - BM</t>
  </si>
  <si>
    <t>FX004001002008 - DMM - Chief Operations Officer (Executive and Council) - BC</t>
  </si>
  <si>
    <t>FX005001011 - Risk Management (Finance and Administration) - BO</t>
  </si>
  <si>
    <t>FX008001001 - Governance Function (Internal Audit) - BU</t>
  </si>
  <si>
    <t>FX010001001 - Billboards (Planning and Development) - BY</t>
  </si>
  <si>
    <t>FX004001002009 - Research, Knowledge Management and Innovation (Executive and Council) - DV</t>
  </si>
  <si>
    <t>FX004001002010 - Mayoral Support Services (Executive and Council) - DW</t>
  </si>
  <si>
    <t>13.11</t>
  </si>
  <si>
    <t>13.12</t>
  </si>
  <si>
    <t>13.13</t>
  </si>
  <si>
    <t>13.12 - FX004001002009 - Research, Knowledge Management and Innovation (Executive and Council) - DV</t>
  </si>
  <si>
    <t>13.13 - FX004001002010 - Mayoral Support Services (Executive and Council) - DW</t>
  </si>
  <si>
    <t>CORPORATE SERVICES - LEGAL SERVICES</t>
  </si>
  <si>
    <t>FX005001008 - Legal Services (Finance and Administration) - BL</t>
  </si>
  <si>
    <t>14.1 - FX005001008 - Legal Services (Finance and Administration) - BL</t>
  </si>
  <si>
    <t>INFRASTRUCTURE SERVICES - INFRASTRUCTURE SUPPORT SERVICES</t>
  </si>
  <si>
    <t>FX016001001003 - Water Treatment - Scientific Services (Water Management) - DL</t>
  </si>
  <si>
    <t>FX016001002003 - Water Distribution - Water Demand Management (Water Management) - DO</t>
  </si>
  <si>
    <t>15.1 - FX016001001003 - Water Treatment - Scientific Services (Water Management) - DL</t>
  </si>
  <si>
    <t>15.2 - FX016001002003 - Water Distribution - Water Demand Management (Water Management) - DO</t>
  </si>
  <si>
    <t>Monthly Actuals</t>
  </si>
  <si>
    <t>Year to Date Actuals</t>
  </si>
  <si>
    <t>Year to Date Budget</t>
  </si>
  <si>
    <t>YTD Variance</t>
  </si>
  <si>
    <t>YTD Variance Formula</t>
  </si>
  <si>
    <t>1.13</t>
  </si>
  <si>
    <t>1.4 - FX010001001 - Billboards (Planning and Development) - BY</t>
  </si>
  <si>
    <t>1.5 - FX010001002 - Corporate Wide Strategic Planning (IDPs, LEDs) (Planning and Development) - BZ</t>
  </si>
  <si>
    <t>1.6 - FX010001004 - Development Facilitation (Planning and Deveopment) - CA</t>
  </si>
  <si>
    <t>1.7 - FX010001005 - Economic Development/Planning (Planning and Development) - CC</t>
  </si>
  <si>
    <t>1.8 - FX010001006 - Town Planning, Building Regulations and Enforcement, and City Engineer (Planning and Development) - CD</t>
  </si>
  <si>
    <t>1.9 - FX003001003 - Pollution Control (Environmental Protection) - AR</t>
  </si>
  <si>
    <t>1.10 - FX005001010 - Property Services (Finance and Administration) - BN</t>
  </si>
  <si>
    <t>1.11 - FX009001004 - Licensing and Regulation (Other) - BW</t>
  </si>
  <si>
    <t>1.12 - FX012001003001 - Public Transport Facilities and Operations Coordination (Road Transport) - DX</t>
  </si>
  <si>
    <t>1.13 - FX010001007003 - Project Management Unit - Expanded Public Works Programme (Planning and Development) - CG</t>
  </si>
  <si>
    <t>5.2 - FX005001001 - Administrative and Corporate Support (Finance and Administration) - BB</t>
  </si>
  <si>
    <t>5.3 - FX009001002 - Air Transport (Other) - BV</t>
  </si>
  <si>
    <t>13.1 - FX004001001001 - Mayor and Council (Executive and Council) - AS</t>
  </si>
  <si>
    <t>13.2 - FX004001002001 - DMM - Corporate Services (Executive and Council) - AU</t>
  </si>
  <si>
    <t>13.3 - FX004001002002 - DMM - ITS (Executive and Council) - AV</t>
  </si>
  <si>
    <t>13.4 - FX004001002003 -  DMM - City Development (Executive and Council) - AW</t>
  </si>
  <si>
    <t>13.5 - FX004001002004 - DMM - Community Services (Executive and Council) - AX</t>
  </si>
  <si>
    <t>13.6 - FX004001002005 -  Municipal Manager (Executive and Council) - AY</t>
  </si>
  <si>
    <t>13.7 - FX004001002007 - Performance Management (Executive and Council) - BA</t>
  </si>
  <si>
    <t>13.8 - FX005001009 - Marketing, Customer Relations, Publicity and Media Co-ordination (Finance and Administration) - BM</t>
  </si>
  <si>
    <t>13.9 - FX004001002008 - DMM - Chief Operations Officer (Executive and Council) - BC</t>
  </si>
  <si>
    <t>13.10 - FX005001011 - Risk Management (Finance and Administration) - BO</t>
  </si>
  <si>
    <t>13.11 - FX008001001 - Governance Function (Internal Audit) - BU</t>
  </si>
  <si>
    <t>Global C2C Structure</t>
  </si>
  <si>
    <t>C2C</t>
  </si>
  <si>
    <t>Marketing, Customer Relations, Publicity and Media Co-ordina</t>
  </si>
  <si>
    <t>Supply Chain Management</t>
  </si>
  <si>
    <t>Beaches and Jetties</t>
  </si>
  <si>
    <t>Fencing and Fences</t>
  </si>
  <si>
    <t>Health Surveillance and Prevention of Communicable Diseases</t>
  </si>
  <si>
    <t>Town Planning, Building Regulations and Enforcement, and Cit</t>
  </si>
  <si>
    <t>Electricity</t>
  </si>
  <si>
    <t>Forestry</t>
  </si>
  <si>
    <t>Item Long Code</t>
  </si>
  <si>
    <t>FINANCIAL PERFORMANCE</t>
  </si>
  <si>
    <t>REVENUE BY SOURCE</t>
  </si>
  <si>
    <t>EXCHANGE REVENUE</t>
  </si>
  <si>
    <t>SERVICE CHARGES - ELECTRICITY</t>
  </si>
  <si>
    <t>SERVICE CHARGES - WATER</t>
  </si>
  <si>
    <t>SERVICE CHARGES - WASTE WATER MA</t>
  </si>
  <si>
    <t>SERVICE CHARGES - WASTE MANAGEME</t>
  </si>
  <si>
    <t>SALE OF GOODS AND RENDERING OF S</t>
  </si>
  <si>
    <t>AGENCY SERVICES</t>
  </si>
  <si>
    <t>INTEREST</t>
  </si>
  <si>
    <t>INTEREST EARNED FROM RECEIVABLES</t>
  </si>
  <si>
    <t>INTEREST EARNED FROM CURRENT AND</t>
  </si>
  <si>
    <t>DIVIDENDS</t>
  </si>
  <si>
    <t>RENT ON LAND</t>
  </si>
  <si>
    <t>RENTAL FROM FIXED ASSETS</t>
  </si>
  <si>
    <t>LICENCES AND PERMITS</t>
  </si>
  <si>
    <t>OPERATIONAL REVENUE</t>
  </si>
  <si>
    <t>NON-EXCHANGE REVENUE</t>
  </si>
  <si>
    <t>PROPERTY RATES</t>
  </si>
  <si>
    <t>SURCHAGES AND TAXES</t>
  </si>
  <si>
    <t>FINES, PENALTIES AND FORFEITS</t>
  </si>
  <si>
    <t>LICENCES OR PERMITS</t>
  </si>
  <si>
    <t>TRANSFER AND SUBSIDES - OPERATIO</t>
  </si>
  <si>
    <t>INTEREST1</t>
  </si>
  <si>
    <t>FUEL LEVY</t>
  </si>
  <si>
    <t>OPERATIONAL REVENUE1</t>
  </si>
  <si>
    <t>GAINS ON DISPOSAL OF ASSETS</t>
  </si>
  <si>
    <t>OTHER GAINS</t>
  </si>
  <si>
    <t>DISCONTINUED OPERATIONS</t>
  </si>
  <si>
    <t>TOTAL EXPENDITURE</t>
  </si>
  <si>
    <t>EXPENDITURE BY TYPE</t>
  </si>
  <si>
    <t>EMPLOYEE RELATED COSTS</t>
  </si>
  <si>
    <t>REMUNERATION OF COUNCILLORS</t>
  </si>
  <si>
    <t>BULK PURCHASES - ELECTRICITY</t>
  </si>
  <si>
    <t>INVENTORY CONSUMED</t>
  </si>
  <si>
    <t>DEBT IMPAIRMENT</t>
  </si>
  <si>
    <t>DEPRECIATION AND AMORTISATION</t>
  </si>
  <si>
    <t>INTEREST2</t>
  </si>
  <si>
    <t>CONTRACTED SERVICES</t>
  </si>
  <si>
    <t>TRANSFERS AND SUBSIDIES</t>
  </si>
  <si>
    <t>IRRECOVERABLE DEBTS WRITTEN OFF</t>
  </si>
  <si>
    <t>OPERATIONAL COSTS</t>
  </si>
  <si>
    <t>LOSSES ON DISPOSAL OF ASSETS</t>
  </si>
  <si>
    <t>OTHER LOSSES</t>
  </si>
  <si>
    <t>TRANSFERS AND SUBSIDIES - CAPITA</t>
  </si>
  <si>
    <t xml:space="preserve">  TRANSFERS AND SUBSIDIES - CAPI</t>
  </si>
  <si>
    <t>INCOME TAX</t>
  </si>
  <si>
    <t>ATTRIBUTABLE TO JOINT VENTURE</t>
  </si>
  <si>
    <t>ATTRIBUTABLE TO MINORITIES</t>
  </si>
  <si>
    <t>ATTRIBUTABLE TO ASSOCIATE</t>
  </si>
  <si>
    <t>INTERCOMPANY/PARENT SUBSIDIARY T</t>
  </si>
  <si>
    <t>Not Assigned Item Long Code (s)</t>
  </si>
  <si>
    <t>ZAR</t>
  </si>
  <si>
    <t>0 - 30 Days</t>
  </si>
  <si>
    <t>61 - 90 Days</t>
  </si>
  <si>
    <t>91 - 120 Days</t>
  </si>
  <si>
    <t>121 - 150 Days</t>
  </si>
  <si>
    <t>151 - 180 Days</t>
  </si>
  <si>
    <t>181 - 1 Year</t>
  </si>
  <si>
    <t>Year</t>
  </si>
  <si>
    <t xml:space="preserve"> 31 - 60 Days</t>
  </si>
  <si>
    <t>Over 1 Year</t>
  </si>
  <si>
    <t>Posting period</t>
  </si>
  <si>
    <t>1</t>
  </si>
  <si>
    <t>2</t>
  </si>
  <si>
    <t>3</t>
  </si>
  <si>
    <t>4</t>
  </si>
  <si>
    <t>5</t>
  </si>
  <si>
    <t>6</t>
  </si>
  <si>
    <t>7</t>
  </si>
  <si>
    <t>8</t>
  </si>
  <si>
    <t>9</t>
  </si>
  <si>
    <t>10</t>
  </si>
  <si>
    <t>11</t>
  </si>
  <si>
    <t>Overall Result</t>
  </si>
  <si>
    <t>Amount</t>
  </si>
  <si>
    <t>SA30 Cash Payments</t>
  </si>
  <si>
    <t>Service charges - electricity revenue</t>
  </si>
  <si>
    <t>Service charges - water revenue</t>
  </si>
  <si>
    <t>Service charges - sanitation revenue</t>
  </si>
  <si>
    <t>Service charges - refuse revenue</t>
  </si>
  <si>
    <t>Transfer receipts - operational</t>
  </si>
  <si>
    <t>Finance charges</t>
  </si>
  <si>
    <t>Other materials</t>
  </si>
  <si>
    <t>Contracted services.</t>
  </si>
  <si>
    <t>Transfers and grants - other municipalities</t>
  </si>
  <si>
    <t>Transfers and grants - other</t>
  </si>
  <si>
    <t>Table C1 Monthly Budget Statement Summary</t>
  </si>
  <si>
    <t>Table C2 Monthly Budget Statement - Financial Performance (functional classification)</t>
  </si>
  <si>
    <t>Actual</t>
  </si>
  <si>
    <t>Table C3 Monthly Budget Statement - Financial Performance (revenue and expenditure by municipal vote)</t>
  </si>
  <si>
    <t>Table C4 Monthly Budget Statement - Financial Performance (revenue and expenditure)</t>
  </si>
  <si>
    <t>Table C5 Monthly Budget Statement - Capital Expenditure (municipal vote, functional classification and funding)</t>
  </si>
  <si>
    <t>Table C6 Monthly Budget Statement - Financial Position</t>
  </si>
  <si>
    <t>Table C7 Monthly Budget Statement - Cash Flow</t>
  </si>
  <si>
    <t>Supporting Table SC1 Material variance explanations</t>
  </si>
  <si>
    <t>Supporting Table SC2 Monthly Budget Statement - performance indicators</t>
  </si>
  <si>
    <t>Supporting Table SC3 Monthly Budget Statement - aged debtors</t>
  </si>
  <si>
    <t>Budget Year</t>
  </si>
  <si>
    <t>Supporting Table SC4 Monthly Budget Statement - aged creditors</t>
  </si>
  <si>
    <t>Supporting Table SC5 Monthly Budget Statement - investment portfolio</t>
  </si>
  <si>
    <t>Supporting Table SC6 Monthly Budget Statement - transfers and grant receipts</t>
  </si>
  <si>
    <t>2022/23 Medium Term Revenue &amp; Expenditure Framework</t>
  </si>
  <si>
    <t>Supporting Table SC7(1) Monthly Budget Statement - transfers and grant expenditure</t>
  </si>
  <si>
    <t>Budget Year +1 2023/24</t>
  </si>
  <si>
    <t>Supporting Table SC7(2) Monthly Budget Statement - Expenditure against approved rollovers</t>
  </si>
  <si>
    <t>Budget Year +2 2024/25</t>
  </si>
  <si>
    <t>Supporting Table SC8 Monthly Budget Statement - councillor and staff benefits</t>
  </si>
  <si>
    <t>Chart</t>
  </si>
  <si>
    <t>Supporting Table SC9 Monthly Budget Statement - actuals and revised targets for cash receipts</t>
  </si>
  <si>
    <t>Supporting Table SC12 Monthly Budget Statement - capital expenditure trend</t>
  </si>
  <si>
    <t>Supporting Table SC13a Monthly Budget Statement - capital expenditure on new assets by asset class</t>
  </si>
  <si>
    <t>Supporting Table SC13b Monthly Budget Statement - capital expenditure on renewal of existing assets by asset class</t>
  </si>
  <si>
    <t>Supporting Table SC13c Monthly Budget Statement - expenditure on repairs and maintenance by asset class</t>
  </si>
  <si>
    <t>Supporting Table SC13d Monthly Budget Statement - depreciation by asset class</t>
  </si>
  <si>
    <t>Supporting Table SC13e Monthly Budget Statement - capital expenditure on upgrading of existing assets by asset class</t>
  </si>
  <si>
    <t>Capital Expenditure Monthly Trend: actual v target</t>
  </si>
  <si>
    <t>Capital Expenditure: YTD actual v YTD target</t>
  </si>
  <si>
    <t>Chart C3 Aged Consumer Debtors Analysis</t>
  </si>
  <si>
    <t>Chart C4 Consumer Debtors (total by Debtor Customer Category)</t>
  </si>
  <si>
    <t>Chart C5 Aged Creditors Analysis</t>
  </si>
  <si>
    <t>www.umhlathuze.org.za</t>
  </si>
  <si>
    <t>High</t>
  </si>
  <si>
    <t>Richards Bay</t>
  </si>
  <si>
    <t>3900</t>
  </si>
  <si>
    <t>Civic Centre</t>
  </si>
  <si>
    <t>5 Mark Strasse</t>
  </si>
  <si>
    <t>035 907 5000</t>
  </si>
  <si>
    <t>035 907 5444</t>
  </si>
  <si>
    <t>035 907 5862</t>
  </si>
  <si>
    <t>076 356 6148</t>
  </si>
  <si>
    <t>GumedeTS@umhlathuze.gov.za</t>
  </si>
  <si>
    <t>035 907 5325</t>
  </si>
  <si>
    <t>067 285 3167</t>
  </si>
  <si>
    <t>MchunuFA@umhlathuze.gov.za</t>
  </si>
  <si>
    <t>035 907 5001</t>
  </si>
  <si>
    <t>NgweziX@umhlathuze.gov.za</t>
  </si>
  <si>
    <t>035 907 5027</t>
  </si>
  <si>
    <t>035 907 5100</t>
  </si>
  <si>
    <t>ZuluNG@umhlathuze.gov.za</t>
  </si>
  <si>
    <t>035 907 5023</t>
  </si>
  <si>
    <t>084 259 8899</t>
  </si>
  <si>
    <t>Sthe.Nxumalo1@umhlathuze.gov.za</t>
  </si>
  <si>
    <t>Mxolisi Kunene</t>
  </si>
  <si>
    <t>035 907 5090</t>
  </si>
  <si>
    <t>082 652 7050</t>
  </si>
  <si>
    <t>mkunene@umhlathuze.gov.za</t>
  </si>
  <si>
    <t>035 907 5092</t>
  </si>
  <si>
    <t>035 907 5319</t>
  </si>
  <si>
    <t>083 340 3231</t>
  </si>
  <si>
    <t>cdcruz@umhlathuze.gov.za</t>
  </si>
  <si>
    <t>035 907 5091</t>
  </si>
  <si>
    <t>082 804 8122</t>
  </si>
  <si>
    <t>hrenald@umhlathuze.gov.za</t>
  </si>
  <si>
    <t>035 907 5082</t>
  </si>
  <si>
    <t>083 384 6731</t>
  </si>
  <si>
    <t>035 907 5315</t>
  </si>
  <si>
    <t>063 229 8131</t>
  </si>
  <si>
    <t>Senzo.Mngomezulu@umhlathuze.gov.za</t>
  </si>
  <si>
    <t>035 907 5500</t>
  </si>
  <si>
    <t>076 544 6761</t>
  </si>
  <si>
    <t>LwandleMN@umhlathuze.gov.za</t>
  </si>
  <si>
    <t>Ms</t>
  </si>
  <si>
    <t>035 907 5085</t>
  </si>
  <si>
    <t>083 273 1813</t>
  </si>
  <si>
    <t>035 907 5034</t>
  </si>
  <si>
    <t>rs@umhlathuze.gov.za</t>
  </si>
  <si>
    <t>Mr</t>
  </si>
  <si>
    <t>035 907 5498</t>
  </si>
  <si>
    <t>076 450 4700</t>
  </si>
  <si>
    <t>KhumaloS@umhlathuze.gov.za</t>
  </si>
  <si>
    <t>035 907 5324</t>
  </si>
  <si>
    <t>081 408 4974</t>
  </si>
  <si>
    <t>12</t>
  </si>
  <si>
    <t>13</t>
  </si>
  <si>
    <t>G_ZYGLM004_C7_ACT_Q002(ACTUAL)</t>
  </si>
  <si>
    <t>Time</t>
  </si>
  <si>
    <t>T_ZYBSC002_TEST5(SC9 Cash Payments)</t>
  </si>
  <si>
    <t>G_ZYGLM004_SC9_ACT_Q001(SC9 Actuals Full)</t>
  </si>
  <si>
    <t>SUMGT Orginal budget</t>
  </si>
  <si>
    <t>2025.INP</t>
  </si>
  <si>
    <t>2026.INP</t>
  </si>
  <si>
    <t>C2C Revenue</t>
  </si>
  <si>
    <t>C2C Expenditure</t>
  </si>
  <si>
    <t>C3C Revenue</t>
  </si>
  <si>
    <t>C3C Expenditure</t>
  </si>
  <si>
    <t>SURPLUS/(DEFICIT) FOR THE YEAR</t>
  </si>
  <si>
    <t>Capex Multi Year</t>
  </si>
  <si>
    <t>Capex Single Year</t>
  </si>
  <si>
    <t>G_ZYGLM004_C6_67</t>
  </si>
  <si>
    <t>Fund Long Code</t>
  </si>
  <si>
    <t>FUNDED BY</t>
  </si>
  <si>
    <t>TRANSFERS RECOGNISED - CAPITAL</t>
  </si>
  <si>
    <t>BORROWING</t>
  </si>
  <si>
    <t>INTERNALLY GENERATED FUNDS</t>
  </si>
  <si>
    <t>NATIONAL GOVERNMENT</t>
  </si>
  <si>
    <t>PROVINCIAL GOVERNMENT</t>
  </si>
  <si>
    <t>Audjusted Budget</t>
  </si>
  <si>
    <t>YearTD Actuals</t>
  </si>
  <si>
    <t>Current portion of long-term receivables</t>
  </si>
  <si>
    <t>Non current receivables from non-exchange transactions</t>
  </si>
  <si>
    <t>Provisions</t>
  </si>
  <si>
    <t>VAT1</t>
  </si>
  <si>
    <t>Financial liabilities1</t>
  </si>
  <si>
    <t>Provisions1</t>
  </si>
  <si>
    <t>Accumulated Surplus/(Deficit)</t>
  </si>
  <si>
    <t>Orginal Budget</t>
  </si>
  <si>
    <t>6.7 Vote Structure  ROW Structure for C Queries</t>
  </si>
  <si>
    <t>VOTE1 - CITY DEVELOPMENT</t>
  </si>
  <si>
    <t>1.1 - FX005001014 - Valuation Service - BR</t>
  </si>
  <si>
    <t>1.4 - FX010001001 - Billboards (Planning and DeV) - BY</t>
  </si>
  <si>
    <t>1.5 - FX010001002 - Corporate Wide Strategic Planning -BZ</t>
  </si>
  <si>
    <t>1.6 - FX010001004 - Development Facilitation - CA</t>
  </si>
  <si>
    <t>1.7 - FX010001005 - Economic Development/Planning - CC</t>
  </si>
  <si>
    <t>1.8 - FX010001006 -Town Planning, Building Regulations - CD</t>
  </si>
  <si>
    <t>1.9 - FX003001003 - Pollution Control (Environmental - AR</t>
  </si>
  <si>
    <t>1.10 - FX005001010 - Property Services - BN</t>
  </si>
  <si>
    <t>1.11 -  FX009001004 - Licensing and Regulation - BW</t>
  </si>
  <si>
    <t>1.12 - FX012001003001 - Public Transport Facilities - DX</t>
  </si>
  <si>
    <t>1.13 - FX010001007003 - Project Management Unit - CG</t>
  </si>
  <si>
    <t>VOTE2 - COMMUNITY SERVICES - PUBLIC HEALTH AND EMERGENCY SER</t>
  </si>
  <si>
    <t>2.1 - FX001002008 - Disaster Management - AH</t>
  </si>
  <si>
    <t>2.2 - FX011001005 - Fire Fighting and Protection - CK</t>
  </si>
  <si>
    <t>2.3 - FX012001005 - Taxi Ranks (Road Transport) - CP</t>
  </si>
  <si>
    <t>2.4 - FX014001003 - Solid Waste Removal - DC</t>
  </si>
  <si>
    <t>2.5 - FX014001004 - Street Cleansing - DE</t>
  </si>
  <si>
    <t>2.6 - FX015001001 - Public Toilets - DF</t>
  </si>
  <si>
    <t>2.7 - FX006001001 - Public Health and Emergency Services- DY</t>
  </si>
  <si>
    <t>VOTE3 - COMMUNITY SERVICES - PROTECTION SERVICES</t>
  </si>
  <si>
    <t>3.1 - FX005001012 - Security Services - BP</t>
  </si>
  <si>
    <t>3.2 - FX012001001 - Police Forces, Traffic and Street - CQ</t>
  </si>
  <si>
    <t>3.3 - FX012002001 - Road and Traffic Regulation - CR</t>
  </si>
  <si>
    <t>3,4 - FX011001006 - Public Safety Licensing and - CU</t>
  </si>
  <si>
    <t>VOTE4 - COMMUNITY SERVICES - RECREATIONAL AND ENVIRONMENTAL</t>
  </si>
  <si>
    <t>4.1 - FX001001003 - Cemeteries, Funeral Parlours &amp; Cre - AA</t>
  </si>
  <si>
    <t>4.2 - FX001001005002 - Halls (Community &amp; Social Serv) - AC</t>
  </si>
  <si>
    <t>4.3 - FX001001006001- Libraries and Archives - AE</t>
  </si>
  <si>
    <t>4.4 - FX001001006002 - Cyber Cadets (Community &amp; Social - AF</t>
  </si>
  <si>
    <t>4.5 - FX001001008 - Museums and Art Galleries - AG</t>
  </si>
  <si>
    <t>4.6 - FX001002007 - Cultural Matters - CV</t>
  </si>
  <si>
    <t>4.7 - FX013001001 - Beaches and Jetties - CS</t>
  </si>
  <si>
    <t>4.8 - FX013001002 - Community Parks (including Nursers) - CT</t>
  </si>
  <si>
    <t>4.9 - FX013002003001 - Recreational Facilities - CW</t>
  </si>
  <si>
    <t>4.10 - FX013002003002 - Recreational Facilities - CX</t>
  </si>
  <si>
    <t>4.11 - FX013002003003 - Recreational Facilities - CY</t>
  </si>
  <si>
    <t>4.12 - FX013002004001 - Sport Development &amp; Sportfields - CZ</t>
  </si>
  <si>
    <t>4.13 - FX013002004002 - Sports Grounds and Stadiums -DB</t>
  </si>
  <si>
    <t>VOTE5 - CORPORATE SERVICES - ADMINISTRATION</t>
  </si>
  <si>
    <t>5.1 - FX001001005003 - Municipal Buildings - AD</t>
  </si>
  <si>
    <t>5.2 - FX005001001 - Administrative and Corporate Support- BB</t>
  </si>
  <si>
    <t>5.3 - FX009001002 - Air Transport (Other) -BV</t>
  </si>
  <si>
    <t>VOTE6 - CORPORATE SERVICES - INFORMATION COMMUNICATION TECHN</t>
  </si>
  <si>
    <t>6.1 - FX005001007 - Information Technology - BK</t>
  </si>
  <si>
    <t>VOTE7 - CORPORATE SERVICES - HUMAN RESOURCES</t>
  </si>
  <si>
    <t>7.1 - FX005001006001 - Human Resources (Finance and - BG</t>
  </si>
  <si>
    <t>7.2 - FX005001006002 - Management Services  (Finance  - BH</t>
  </si>
  <si>
    <t>7.3 - FX005001006004 -Training and Industrial Relations- BJ</t>
  </si>
  <si>
    <t>7.4 - FX005001006003 - Occupational Clinic (Finance - BI</t>
  </si>
  <si>
    <t>VOTE8 - FINANCIAL SERVICES</t>
  </si>
  <si>
    <t>8,1 - FX005001004001 - Financial Management Grant Interns-DR</t>
  </si>
  <si>
    <t>8,2 - FX005001004002 - Revenue and Expenditure - DS</t>
  </si>
  <si>
    <t>8.3 - FX005001004 - Finance (Finance and Adminstration) - DT</t>
  </si>
  <si>
    <t>8.4 - FX005001013 - Supply Chain Management - BQ</t>
  </si>
  <si>
    <t>8.5 - FX005002001 - Asset Management - BS</t>
  </si>
  <si>
    <t>VOTE9 - ELECTRICAL AND ENEGRY SUPPLY SERVICES</t>
  </si>
  <si>
    <t>9.1 - FX002001001001 - Marketing and Customer relations - AI</t>
  </si>
  <si>
    <t>9.2 - FX002001001002 - Administration (Energy Sources) - AJ</t>
  </si>
  <si>
    <t>9.3 - FX002001001004 - Electricity Distribution - AL</t>
  </si>
  <si>
    <t>9.4 - FX002001001005 - Electricity Planning - AN</t>
  </si>
  <si>
    <t>9.5 - FX002001002001 - Street Lighting (Energy Sources) - AP</t>
  </si>
  <si>
    <t>9.6 - FX002001002002 - Process Control Systems - AQ</t>
  </si>
  <si>
    <t>9.7 - FX005001005 - Fleet Management (Finance &amp; Adm) - BF</t>
  </si>
  <si>
    <t>VOTE10 - INFRASTRUCTURE SERVICES - INFRASTRUCTURE AND FACILI</t>
  </si>
  <si>
    <t>10.1 - FX001001005001 - Buildings Maintenance - AB</t>
  </si>
  <si>
    <t>10.2 - FX010001007002 - Project Management Unit - CF</t>
  </si>
  <si>
    <t>VOTE11 - INFRASTRUCTURE SERVICES - CIVIL ENGINEERING SERVICE</t>
  </si>
  <si>
    <t>11.1 - FX012001004001 - Roads - Railway Sidings - CM</t>
  </si>
  <si>
    <t>11.2 - FX012001004002 - Roads - Urban Roads - CN</t>
  </si>
  <si>
    <t>11.3 - FX012001004003 - Roads - Rural Roads - CO</t>
  </si>
  <si>
    <t>11.4 - FX015001003 - Storm Water Management - DJ</t>
  </si>
  <si>
    <t>11.5 - FX003001002 - Envir.  Coastal Protection - DU</t>
  </si>
  <si>
    <t>11.6 - FX015001002001 - Sewerage - Industrial Effluent -DG</t>
  </si>
  <si>
    <t>11.7 - FX015001002002 - Sewerage - Pumpstations - DH</t>
  </si>
  <si>
    <t>11.8 - FX015001002003 - Sewerage - Sewerage Network - DI</t>
  </si>
  <si>
    <t>11.10 - FX016001002004 - Water Distribution - DP</t>
  </si>
  <si>
    <t>11.11 - FX016001002005 - Water Distibution - DQ</t>
  </si>
  <si>
    <t>11.12 - FX016001002001 - Water Distribution - Rural Wat - DM</t>
  </si>
  <si>
    <t>11.13 - FX016001002002 - Water Distribution - Urban Wat - DN</t>
  </si>
  <si>
    <t>VOTE12 - INFRASTRUCTURE SERVICES - ENGINEERING SERVICES</t>
  </si>
  <si>
    <t>12.1 - FX010001007001 - Project Management Unit - CE</t>
  </si>
  <si>
    <t>12.2 - FX010001007005 - Project Management Unit - PMU - CI</t>
  </si>
  <si>
    <t>VOTE13 - OFFICE OF THE MUNICIPAL MANAGER</t>
  </si>
  <si>
    <t>13.1 - FX004001001001 - Mayor and Council - AS</t>
  </si>
  <si>
    <t>13.2 - FX004001002001 - DMM - Corporate Services - AU</t>
  </si>
  <si>
    <t>13.3 - FX004001002002 - DMM - ITS (Execut &amp; Counc) - AV</t>
  </si>
  <si>
    <t>13.4 - FX004001002003 -  DMM - City Development - AW</t>
  </si>
  <si>
    <t>13.5 - FX004001002004 - DMM - Community Services - AX</t>
  </si>
  <si>
    <t>13.6 - FX004001002005 -  Municipal Manager - AY</t>
  </si>
  <si>
    <t>13.7 - FX004001002007 - Performance Management - BA</t>
  </si>
  <si>
    <t>13.8 - FX005001009 - Marketing, Customer Relations - BM</t>
  </si>
  <si>
    <t>13.9 - FX004001002008 - DMM - Chief Operations Officer - BC</t>
  </si>
  <si>
    <t>13.10 - FX005001011 - Risk Management (Finance and Adm - BO</t>
  </si>
  <si>
    <t>13.11 - FX008001001 - Governance Function (Inter Audit) - BU</t>
  </si>
  <si>
    <t>13.12 - FX004001002009 - Research, Knowledge Management - DV</t>
  </si>
  <si>
    <t>13.13 - FX004001002010 - Mayoral Support Services - DW</t>
  </si>
  <si>
    <t>VOTE14 - CORPORATE SERVICES - LEGAL SERVICES</t>
  </si>
  <si>
    <t>14.1 - FX005001008 - Legal Services (Finance and - BL</t>
  </si>
  <si>
    <t>VOTE15 - INFRASTRUCTURE SERVICES - INFRASTRUCTURE SUPPORT SE</t>
  </si>
  <si>
    <t>15.1 - FX016001001003 - Water Treatment - Scientific - DL</t>
  </si>
  <si>
    <t>15.2 - FX016001002003 - Water Distribution - Water - DO</t>
  </si>
  <si>
    <t>TotalS by Vote</t>
  </si>
  <si>
    <t>Finance Management</t>
  </si>
  <si>
    <t>Energy Efficient and Demand Management</t>
  </si>
  <si>
    <t>Provincialisation of Libraries</t>
  </si>
  <si>
    <t>Mpembeni Modular Library</t>
  </si>
  <si>
    <t>Richards Bay Airport Feasibility Study</t>
  </si>
  <si>
    <t>Muniicipal Emplotyment Initiative</t>
  </si>
  <si>
    <t>Municipal Disaster Recovery Grant</t>
  </si>
  <si>
    <t>Enhanced Extended Discount Benefit Scheme</t>
  </si>
  <si>
    <t>Hostels</t>
  </si>
  <si>
    <t>Integrated Urban Development Grant</t>
  </si>
  <si>
    <t>Water Service Infrastruture Grant</t>
  </si>
  <si>
    <t>Integrated National Electrification Programme Grant</t>
  </si>
  <si>
    <t>Not Assigned Fund Long Code (s)</t>
  </si>
  <si>
    <t>AD NT Structure Detail</t>
  </si>
  <si>
    <t>Trade and Other Receivables from Exchange Transactions - Wat</t>
  </si>
  <si>
    <t>Trade and Other Receivables from Exchange Transactions - Ele</t>
  </si>
  <si>
    <t>Receivables from Exchange Transactions - Waste Water Managem</t>
  </si>
  <si>
    <t>Receivables from Exchange Transactions - Property Rental Deb</t>
  </si>
  <si>
    <t>Recoverable unauthorised, irregular or fruitless and wastefu</t>
  </si>
  <si>
    <t>Others</t>
  </si>
  <si>
    <t>C3C</t>
  </si>
  <si>
    <t>C4C</t>
  </si>
  <si>
    <t>Expenditure</t>
  </si>
  <si>
    <t>Capital Expenditure</t>
  </si>
  <si>
    <t>13a- new assets</t>
  </si>
  <si>
    <t xml:space="preserve">13b-renewal of existing assets </t>
  </si>
  <si>
    <t xml:space="preserve">13e -upgrading  existing assets </t>
  </si>
  <si>
    <t>C5 Capex-Total Capital Funding</t>
  </si>
  <si>
    <t>13D</t>
  </si>
  <si>
    <t>C4-Depreciation &amp; asset impairment</t>
  </si>
  <si>
    <t>C4(Remuneration of councillors)</t>
  </si>
  <si>
    <t> SC8(Sub Total - Councillors)</t>
  </si>
  <si>
    <t> SC8 -Sub Total - Senior Managers of Municipality</t>
  </si>
  <si>
    <t> SC8- Sub Total - Other Municipal Staff</t>
  </si>
  <si>
    <t>SC8-Total(Senior Managers of Municipality+Other Municipal Staff)</t>
  </si>
  <si>
    <t>C4(Employee related costs)</t>
  </si>
  <si>
    <t>C4-Employee related costs</t>
  </si>
  <si>
    <t>C4-Remuneration of councillors</t>
  </si>
  <si>
    <t>C4-Total(Employee related costs+Remuneration of councillors)</t>
  </si>
  <si>
    <t>SC8-TOTAL SALARY, ALLOWANCES &amp; BENEFITS</t>
  </si>
  <si>
    <t>Creditors Age Analysis</t>
  </si>
  <si>
    <t>Debtors Age Analysis</t>
  </si>
  <si>
    <t>Cleanest Town Awards</t>
  </si>
  <si>
    <t>Chieta Funding</t>
  </si>
  <si>
    <t>Water Service Infrastructure Grant</t>
  </si>
  <si>
    <t>Intergrated National Electrification Programme Grant</t>
  </si>
  <si>
    <t>(13a+13b+13e) Total</t>
  </si>
  <si>
    <t>(Single +Multi year)Capital Expenditure</t>
  </si>
  <si>
    <t>C5 Capex-Function Classification</t>
  </si>
  <si>
    <t>Hulamin Operations (Pty) Ltd</t>
  </si>
  <si>
    <t>Donated Assets - Hulamin Operations (Pty) Ltd</t>
  </si>
  <si>
    <t>Municipal Disaster Relief Grant</t>
  </si>
  <si>
    <t>COUNCILLORS</t>
  </si>
  <si>
    <t>BASIC SALARIES AND WAGES</t>
  </si>
  <si>
    <t>PENSION AND UIF CONTRIBUTIONS</t>
  </si>
  <si>
    <t>MEDICAL AID CONTRIBUTIONS</t>
  </si>
  <si>
    <t>MOTOR VEHICLE ALLOWANCE</t>
  </si>
  <si>
    <t>CELLPHONE ALLOWANCE</t>
  </si>
  <si>
    <t>HOUSING ALLOWANCES</t>
  </si>
  <si>
    <t>OTHER BENEFITS AND ALLOWANCES</t>
  </si>
  <si>
    <t>SENIOR MANAGERS OF THE MUNICIPAL</t>
  </si>
  <si>
    <t>BASIC SALARIES AND WAGES1</t>
  </si>
  <si>
    <t>PENSION AND UIF CONTRIBUTIONS1</t>
  </si>
  <si>
    <t>MEDICAL AID CONTRIBUTIONS1</t>
  </si>
  <si>
    <t>OVERTIME</t>
  </si>
  <si>
    <t>PERFORMANCE BONUS</t>
  </si>
  <si>
    <t>MOTOR VEHICLE ALLOWANCE1</t>
  </si>
  <si>
    <t>CELLPHONE ALLOWANCE1</t>
  </si>
  <si>
    <t>HOUSING ALLOWANCES1</t>
  </si>
  <si>
    <t>OTHER BENEFITS AND ALLOWANCES1</t>
  </si>
  <si>
    <t>PAYMENTS IN LIEU OF LEAVE</t>
  </si>
  <si>
    <t>LONG SERVICE AWARDS</t>
  </si>
  <si>
    <t>POST-RETIREMENT BENEFIT OBLIGATI</t>
  </si>
  <si>
    <t>ENTERTAINMENT</t>
  </si>
  <si>
    <t>OTHER MUNICIPAL STAFF</t>
  </si>
  <si>
    <t>BASIC SALARIES AND WAGES2</t>
  </si>
  <si>
    <t>PENSION AND UIF CONTRIBUTIONS2</t>
  </si>
  <si>
    <t>MEDICAL AID CONTRIBUTIONS2</t>
  </si>
  <si>
    <t>OVERTIME2</t>
  </si>
  <si>
    <t>PERFORMANCE BONUS2</t>
  </si>
  <si>
    <t>MOTOR VEHICLE ALLOWANCE2</t>
  </si>
  <si>
    <t>CELLPHONE ALLOWANCE2</t>
  </si>
  <si>
    <t>HOUSING ALLOWANCES2</t>
  </si>
  <si>
    <t>OTHER BENEFITS AND ALLOWANCES2</t>
  </si>
  <si>
    <t>PAYMENTS IN LIEU OF LEAVE2</t>
  </si>
  <si>
    <t>LONG SERVICE AWARDS2</t>
  </si>
  <si>
    <t>POST-RETIREMENT BENEFIT OBLIGAT2</t>
  </si>
  <si>
    <t>ENTERTAINMENT2</t>
  </si>
  <si>
    <t>G_ZYGLM004_SB15_67 (SC9 Budget Full)</t>
  </si>
  <si>
    <t>ACTING AND POST RELATED ALLOWANC</t>
  </si>
  <si>
    <t>ACTING AND POST RELATED ALLOWAN2</t>
  </si>
  <si>
    <t>Departmental Agencies</t>
  </si>
  <si>
    <t>Capacity Building &amp; Other</t>
  </si>
  <si>
    <t>Private Enterprises:Other Transfers Private Enterprises:Unspecifie</t>
  </si>
  <si>
    <t>Other capital transfers [insert description]</t>
  </si>
  <si>
    <t xml:space="preserve"> </t>
  </si>
  <si>
    <t>Capacity</t>
  </si>
  <si>
    <t>KZ     KWAZULU-NATAL</t>
  </si>
  <si>
    <t>E-mail Address</t>
  </si>
  <si>
    <t>Postal Address</t>
  </si>
  <si>
    <t>P O Box</t>
  </si>
  <si>
    <t>PRIVATE BAG X1004</t>
  </si>
  <si>
    <t>RICHARDS BAY</t>
  </si>
  <si>
    <t>Street Address</t>
  </si>
  <si>
    <t>Street No / Name</t>
  </si>
  <si>
    <t>Telephone Number</t>
  </si>
  <si>
    <t>Fax Number</t>
  </si>
  <si>
    <t>Speaker</t>
  </si>
  <si>
    <t>Secretary/PA to the Speaker</t>
  </si>
  <si>
    <t>ID Number (not used)</t>
  </si>
  <si>
    <t>Cllr</t>
  </si>
  <si>
    <t>Name and Surname (no initials)</t>
  </si>
  <si>
    <t>Tobias Seze Gumede</t>
  </si>
  <si>
    <t>Fanelesibonge Abigail Mchunu</t>
  </si>
  <si>
    <t>Cell Number</t>
  </si>
  <si>
    <t>Mayor/Executive Mayor</t>
  </si>
  <si>
    <t>Secretary/PA to the Mayor/Executive Mayor</t>
  </si>
  <si>
    <t>Xolani Ngwezi</t>
  </si>
  <si>
    <t>Thembelihle Gwala</t>
  </si>
  <si>
    <t>035 907 5004</t>
  </si>
  <si>
    <t>083 718 3477</t>
  </si>
  <si>
    <t>072 719 9373</t>
  </si>
  <si>
    <t>GwalaTH@umhlathuze.gov.za</t>
  </si>
  <si>
    <t>Deputy Mayor/Executive Mayor</t>
  </si>
  <si>
    <t>Secretary/PA to the Deputy Mayor/Executive Mayor</t>
  </si>
  <si>
    <t>Christo Marius Botha</t>
  </si>
  <si>
    <t>Gertruida Maria Swart</t>
  </si>
  <si>
    <t>035 907 5618</t>
  </si>
  <si>
    <t>082 839 5816</t>
  </si>
  <si>
    <t>081 461 3035</t>
  </si>
  <si>
    <t>BothaCM@umhlathuze.gov.za</t>
  </si>
  <si>
    <t>SwartGM@umhlathuze.gov.za</t>
  </si>
  <si>
    <t>Municipal Manager</t>
  </si>
  <si>
    <t>Secretary/PA to the Municipal Manager</t>
  </si>
  <si>
    <t>Nkosenye Godfrey Zulu</t>
  </si>
  <si>
    <t>Sthe Nxumalo</t>
  </si>
  <si>
    <t>083 262 4265</t>
  </si>
  <si>
    <t>Jolene Dunn</t>
  </si>
  <si>
    <t>DunnJM@umhlathuze.gov.za</t>
  </si>
  <si>
    <t>Cristina Da Cruz</t>
  </si>
  <si>
    <t>Hilton Renald</t>
  </si>
  <si>
    <t>Fathima Motala</t>
  </si>
  <si>
    <t>Senzo Mngomezulu</t>
  </si>
  <si>
    <t>fmotala@umhlathuze.gov.za</t>
  </si>
  <si>
    <t>Mbongeleni Lwandle</t>
  </si>
  <si>
    <t>Michelle Reddy</t>
  </si>
  <si>
    <t>Siyabonga Khumalo</t>
  </si>
  <si>
    <t>Phumzile Mbatha</t>
  </si>
  <si>
    <t>mbathap@umhlathuze.gov.za</t>
  </si>
  <si>
    <t>Municipality sub-total</t>
  </si>
  <si>
    <t xml:space="preserve">CONTACT INFORMATION  </t>
  </si>
  <si>
    <t>Medical Aid deductions</t>
  </si>
  <si>
    <t>VAT Control(Receipts)</t>
  </si>
  <si>
    <t>2025.001</t>
  </si>
  <si>
    <t>2025.002</t>
  </si>
  <si>
    <t>2025.003</t>
  </si>
  <si>
    <t>2025.004</t>
  </si>
  <si>
    <t>2025.005</t>
  </si>
  <si>
    <t>2025.006</t>
  </si>
  <si>
    <t>2025.007</t>
  </si>
  <si>
    <t>2025.008</t>
  </si>
  <si>
    <t>2025.009</t>
  </si>
  <si>
    <t>2025.010</t>
  </si>
  <si>
    <t>2025.011</t>
  </si>
  <si>
    <t>2025.012</t>
  </si>
  <si>
    <t>2027.INP</t>
  </si>
  <si>
    <t>SC13_E Structure</t>
  </si>
  <si>
    <t>Capital expenditure on upgrading of existing assets by Asset</t>
  </si>
  <si>
    <t>Total Capital Expenditure on upgrading of existing assets</t>
  </si>
  <si>
    <t>SC13_A Structure</t>
  </si>
  <si>
    <t>SC13_B Structure</t>
  </si>
  <si>
    <t>Capital expenditure on renewal of existing assets by Asset C</t>
  </si>
  <si>
    <t>SC13_C Structure</t>
  </si>
  <si>
    <t>SC13_D Structure</t>
  </si>
  <si>
    <t>Grants  SC7_1</t>
  </si>
  <si>
    <t>Audi - Receipts</t>
  </si>
  <si>
    <t>Audited Only IR's</t>
  </si>
  <si>
    <t>Audited Only IA's</t>
  </si>
  <si>
    <t>ORGB Receipts</t>
  </si>
  <si>
    <t>ADJB Receipts</t>
  </si>
  <si>
    <t>M-Received</t>
  </si>
  <si>
    <t>M-Revenue</t>
  </si>
  <si>
    <t>YTD-Revenue</t>
  </si>
  <si>
    <t>YTD BUD Receipts</t>
  </si>
  <si>
    <t>FF Receipts</t>
  </si>
  <si>
    <t>Other1</t>
  </si>
  <si>
    <t>Other2</t>
  </si>
  <si>
    <t>Other3</t>
  </si>
  <si>
    <t>G_ZYGLM004_C7_BUD_67(C7 Budget data Cashflow)</t>
  </si>
  <si>
    <t>YTD Budget</t>
  </si>
  <si>
    <t>Full Year
Forecast</t>
  </si>
  <si>
    <t>078 404 2803</t>
  </si>
  <si>
    <t>Orginal Budget +1</t>
  </si>
  <si>
    <t>Orginal Budget +2</t>
  </si>
  <si>
    <t>Greenest Municipality Competition</t>
  </si>
  <si>
    <t>Municipal Excellence Award</t>
  </si>
  <si>
    <t>Audi - Expenditure</t>
  </si>
  <si>
    <t>ORGB Expenditure</t>
  </si>
  <si>
    <t>ADJB Expenditure</t>
  </si>
  <si>
    <t>YTD BUD Expenditure</t>
  </si>
  <si>
    <t>FF Expenditure</t>
  </si>
  <si>
    <t>YTD Received</t>
  </si>
  <si>
    <t>M - Expenditure</t>
  </si>
  <si>
    <t>YTD Expenditure</t>
  </si>
  <si>
    <t>FNB Bank- Enhanced Extended Disc Benefit SCH</t>
  </si>
  <si>
    <t>FNB Bank-OPSCAP Operational Costs</t>
  </si>
  <si>
    <t>FNB Bank- Ngwelezane Housing</t>
  </si>
  <si>
    <t>FNB Bank- Conditional Grants</t>
  </si>
  <si>
    <t>FNB Bank- Empangeni IRDP Phase 2</t>
  </si>
  <si>
    <t>FNB Bank-Capital Replacement Reserve</t>
  </si>
  <si>
    <t>FNB Bank-Esikhawini Hostel Phase 3</t>
  </si>
  <si>
    <t>FNB Bank-Deposit Account</t>
  </si>
  <si>
    <t>FNB Bank-Cheque Account</t>
  </si>
  <si>
    <t>ABSA</t>
  </si>
  <si>
    <t>Standard Bank</t>
  </si>
  <si>
    <t>Call</t>
  </si>
  <si>
    <t>Fixed</t>
  </si>
  <si>
    <t>N/A</t>
  </si>
  <si>
    <t>Daily</t>
  </si>
  <si>
    <t>27/06/2025</t>
  </si>
  <si>
    <t>15/04/2025</t>
  </si>
  <si>
    <t>17/06/2025</t>
  </si>
  <si>
    <t>31 - 60 Days</t>
  </si>
  <si>
    <t>Over 1Year</t>
  </si>
  <si>
    <t>TOTAL</t>
  </si>
  <si>
    <t>Structure</t>
  </si>
  <si>
    <t>VAT(output less input)</t>
  </si>
  <si>
    <t>Pensions/Retirement deductions</t>
  </si>
  <si>
    <t>Loan Repayments</t>
  </si>
  <si>
    <t>FNB Bank-Retention and Deposits</t>
  </si>
  <si>
    <t>FNB Empangeni IRDP Phase 3</t>
  </si>
  <si>
    <t xml:space="preserve">                       – </t>
  </si>
  <si>
    <t xml:space="preserv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</si>
</sst>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1C09]dd\ mmmm\ yyyy"/>
    <numFmt numFmtId="177" formatCode="&quot;     &quot;@"/>
    <numFmt numFmtId="178" formatCode="&quot;[-] &quot;@"/>
    <numFmt numFmtId="179" formatCode="&quot;  [-] &quot;@"/>
    <numFmt numFmtId="180" formatCode="&quot;         &quot;@"/>
    <numFmt numFmtId="181" formatCode="&quot;  [+] &quot;@"/>
    <numFmt numFmtId="182" formatCode="&quot;[+] &quot;@"/>
    <numFmt numFmtId="183" formatCode="&quot;    [+] &quot;@"/>
    <numFmt numFmtId="184" formatCode="&quot;    [-] &quot;@"/>
    <numFmt numFmtId="185" formatCode="&quot;      [+] &quot;@"/>
    <numFmt numFmtId="186" formatCode="&quot;       &quot;@"/>
    <numFmt numFmtId="187" formatCode="_(* #,##0,_);_(* \(#,##0,\);_(* &quot;- &quot;?_);_(@_)"/>
    <numFmt numFmtId="188" formatCode="_ * #,##0_);_(* \(#,##0\);_(* &quot;–&quot;?_);_(@_)"/>
    <numFmt numFmtId="189" formatCode="\ _ * #,##0_);_(* \(#,##0\);_(* &quot;–&quot;?_);_(@_)"/>
    <numFmt numFmtId="190" formatCode="_ * #\ ##0_);_(* \(#,##0\);_(* &quot;–&quot;?_);_(@_)"/>
    <numFmt numFmtId="191" formatCode="_(* #,##0_);_(* \(#,##0\);_(* &quot;–&quot;?_);_(@_)"/>
    <numFmt numFmtId="192" formatCode="#,##0.0000000;\-#,##0.0000000;#,##0.0000000"/>
    <numFmt numFmtId="193" formatCode="&quot; &quot;#,##0.00&quot; &quot;;&quot; (&quot;#,##0.00&quot;)&quot;;&quot; -&quot;00&quot; &quot;;&quot; &quot;@&quot; &quot;"/>
  </numFmts>
  <fonts count="6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b/>
      <sz val="8"/>
      <color rgb="FFFF0000"/>
      <name val="Arial Narrow"/>
      <family val="2"/>
    </font>
    <font>
      <sz val="8"/>
      <color rgb="FF92D050"/>
      <name val="Arial Narrow"/>
      <family val="2"/>
    </font>
    <font>
      <sz val="8"/>
      <color rgb="FF00B0F0"/>
      <name val="Arial Narrow"/>
      <family val="2"/>
    </font>
    <font>
      <sz val="8"/>
      <color rgb="FF00B050"/>
      <name val="Arial Narrow"/>
      <family val="2"/>
    </font>
    <font>
      <b/>
      <u/>
      <sz val="8"/>
      <color rgb="FF00B0F0"/>
      <name val="Arial Narrow"/>
      <family val="2"/>
    </font>
    <font>
      <i/>
      <sz val="8"/>
      <color rgb="FF00B0F0"/>
      <name val="Arial Narrow"/>
      <family val="2"/>
    </font>
    <font>
      <sz val="10"/>
      <color rgb="FF000000"/>
      <name val="Arial"/>
      <family val="2"/>
    </font>
    <font>
      <sz val="10"/>
      <name val="Arial"/>
      <family val="2"/>
    </font>
    <font>
      <b/>
      <sz val="8"/>
      <color rgb="FF000000"/>
      <name val="Arial Narrow"/>
      <family val="2"/>
    </font>
    <font>
      <i/>
      <u/>
      <sz val="8"/>
      <color rgb="FF000000"/>
      <name val="Arial Narrow"/>
      <family val="2"/>
    </font>
    <font>
      <b/>
      <sz val="12"/>
      <color rgb="FF000000"/>
      <name val="Arial"/>
      <family val="2"/>
    </font>
    <font>
      <b/>
      <sz val="9"/>
      <color rgb="FF0000FF"/>
      <name val="Arial Narrow"/>
      <family val="2"/>
    </font>
    <font>
      <sz val="8"/>
      <color rgb="FF000000"/>
      <name val="Arial Narrow"/>
      <family val="2"/>
    </font>
    <font>
      <b/>
      <sz val="9"/>
      <color rgb="FF000000"/>
      <name val="Arial Narrow"/>
      <family val="2"/>
    </font>
    <font>
      <sz val="8"/>
      <color rgb="FFFF0000"/>
      <name val="Arial Narrow"/>
      <family val="2"/>
    </font>
    <font>
      <sz val="11"/>
      <color rgb="FF000000"/>
      <name val="Calibri"/>
      <family val="2"/>
    </font>
    <font>
      <sz val="11"/>
      <color rgb="FF006100"/>
      <name val="Calibri"/>
      <family val="2"/>
      <scheme val="min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rgb="FF000000"/>
      </patternFill>
    </fill>
    <fill>
      <patternFill patternType="solid">
        <fgColor rgb="FFFFFF99"/>
        <bgColor rgb="FF000000"/>
      </patternFill>
    </fill>
    <fill>
      <patternFill patternType="solid">
        <fgColor theme="0"/>
        <bgColor indexed="64"/>
      </patternFill>
    </fill>
    <fill>
      <patternFill patternType="solid">
        <fgColor rgb="FFFFFF99"/>
      </patternFill>
    </fill>
    <fill>
      <patternFill patternType="solid">
        <fgColor rgb="FFC6EFCE"/>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right/>
      <top style="thin">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indexed="64"/>
      </right>
      <top/>
      <bottom style="hair">
        <color indexed="64"/>
      </bottom>
      <diagonal/>
    </border>
    <border>
      <left/>
      <right/>
      <top/>
      <bottom style="hair">
        <color indexed="64"/>
      </bottom>
      <diagonal/>
    </border>
  </borders>
  <cellStyleXfs count="93">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4"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9" fontId="1" fillId="0" borderId="0" applyFont="0" applyFill="0" applyBorder="0" applyAlignment="0" applyProtection="0"/>
    <xf numFmtId="0" fontId="1" fillId="0" borderId="0"/>
    <xf numFmtId="0" fontId="60" fillId="0" borderId="0"/>
    <xf numFmtId="193" fontId="60" fillId="0" borderId="0" applyFont="0" applyFill="0" applyBorder="0" applyAlignment="0" applyProtection="0"/>
    <xf numFmtId="9" fontId="60" fillId="0" borderId="0" applyFont="0" applyFill="0" applyBorder="0" applyAlignment="0" applyProtection="0"/>
    <xf numFmtId="0" fontId="61" fillId="39" borderId="0" applyNumberFormat="0" applyBorder="0" applyAlignment="0" applyProtection="0"/>
  </cellStyleXfs>
  <cellXfs count="885">
    <xf numFmtId="0" fontId="0" fillId="0" borderId="0" xfId="0"/>
    <xf numFmtId="0" fontId="2" fillId="0" borderId="0" xfId="0" applyFont="1"/>
    <xf numFmtId="0" fontId="2" fillId="0" borderId="10" xfId="0" applyFont="1" applyBorder="1" applyAlignment="1">
      <alignment horizontal="center"/>
    </xf>
    <xf numFmtId="0" fontId="2" fillId="0" borderId="0" xfId="0" applyFont="1" applyAlignment="1">
      <alignment horizontal="center"/>
    </xf>
    <xf numFmtId="0" fontId="4" fillId="0" borderId="0" xfId="0" applyFont="1"/>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xf numFmtId="0" fontId="3" fillId="24" borderId="18" xfId="0" applyFont="1" applyFill="1" applyBorder="1" applyAlignment="1">
      <alignment horizontal="center"/>
    </xf>
    <xf numFmtId="0" fontId="7" fillId="0" borderId="19" xfId="0" applyFont="1" applyBorder="1" applyAlignment="1">
      <alignment horizontal="center" vertical="top" wrapText="1"/>
    </xf>
    <xf numFmtId="0" fontId="7" fillId="0" borderId="15" xfId="0" applyFont="1" applyBorder="1" applyAlignment="1">
      <alignment horizontal="center" vertical="center"/>
    </xf>
    <xf numFmtId="0" fontId="10" fillId="0" borderId="0" xfId="0" applyFont="1" applyAlignment="1">
      <alignment horizontal="left" vertical="top" wrapText="1"/>
    </xf>
    <xf numFmtId="0" fontId="7" fillId="0" borderId="20" xfId="0" applyFont="1" applyBorder="1" applyAlignment="1">
      <alignment horizontal="center" vertical="center" wrapText="1"/>
    </xf>
    <xf numFmtId="0" fontId="6" fillId="0" borderId="0" xfId="0" applyFont="1"/>
    <xf numFmtId="0" fontId="7" fillId="0" borderId="21" xfId="0" applyFont="1" applyBorder="1" applyAlignment="1">
      <alignment horizontal="center" vertical="center" wrapText="1"/>
    </xf>
    <xf numFmtId="0" fontId="7" fillId="0" borderId="13" xfId="0" applyFont="1" applyBorder="1" applyAlignment="1">
      <alignment horizontal="center" vertical="center" wrapText="1"/>
    </xf>
    <xf numFmtId="172" fontId="6" fillId="0" borderId="21" xfId="0" applyNumberFormat="1" applyFont="1" applyBorder="1"/>
    <xf numFmtId="172" fontId="6" fillId="0" borderId="22" xfId="0" applyNumberFormat="1" applyFont="1" applyBorder="1"/>
    <xf numFmtId="172" fontId="6" fillId="0" borderId="23" xfId="0" applyNumberFormat="1" applyFont="1" applyBorder="1"/>
    <xf numFmtId="0" fontId="10" fillId="0" borderId="0" xfId="0" applyFont="1" applyAlignment="1">
      <alignment horizontal="left"/>
    </xf>
    <xf numFmtId="0" fontId="7" fillId="0" borderId="16" xfId="0" applyFont="1" applyBorder="1" applyAlignment="1">
      <alignment horizontal="left" vertical="center"/>
    </xf>
    <xf numFmtId="0" fontId="9" fillId="0" borderId="11" xfId="0" applyFont="1" applyBorder="1"/>
    <xf numFmtId="0" fontId="6" fillId="0" borderId="11" xfId="0" applyFont="1" applyBorder="1" applyAlignment="1">
      <alignment horizontal="left" indent="1"/>
    </xf>
    <xf numFmtId="0" fontId="7" fillId="0" borderId="11" xfId="0" applyFont="1" applyBorder="1" applyAlignment="1">
      <alignment horizontal="left"/>
    </xf>
    <xf numFmtId="0" fontId="6" fillId="0" borderId="11" xfId="0" applyFont="1" applyBorder="1"/>
    <xf numFmtId="173" fontId="6" fillId="0" borderId="0" xfId="0" applyNumberFormat="1" applyFont="1"/>
    <xf numFmtId="173" fontId="6" fillId="0" borderId="21" xfId="0" applyNumberFormat="1" applyFont="1" applyBorder="1"/>
    <xf numFmtId="173" fontId="6" fillId="0" borderId="13" xfId="0" applyNumberFormat="1" applyFont="1" applyBorder="1"/>
    <xf numFmtId="173" fontId="6" fillId="0" borderId="24" xfId="0" applyNumberFormat="1" applyFont="1" applyBorder="1"/>
    <xf numFmtId="173" fontId="7" fillId="0" borderId="0" xfId="0" applyNumberFormat="1" applyFont="1"/>
    <xf numFmtId="173" fontId="7" fillId="0" borderId="21" xfId="0" applyNumberFormat="1" applyFont="1" applyBorder="1"/>
    <xf numFmtId="173" fontId="7" fillId="0" borderId="24" xfId="0" applyNumberFormat="1" applyFont="1" applyBorder="1"/>
    <xf numFmtId="0" fontId="7" fillId="0" borderId="25" xfId="0" applyFont="1" applyBorder="1"/>
    <xf numFmtId="173" fontId="7" fillId="0" borderId="26" xfId="0" applyNumberFormat="1" applyFont="1" applyBorder="1"/>
    <xf numFmtId="173" fontId="7" fillId="0" borderId="27" xfId="0" applyNumberFormat="1" applyFont="1" applyBorder="1"/>
    <xf numFmtId="0" fontId="7" fillId="0" borderId="0" xfId="0" applyFont="1"/>
    <xf numFmtId="0" fontId="10" fillId="0" borderId="0" xfId="0" applyFont="1" applyAlignment="1">
      <alignment horizontal="center"/>
    </xf>
    <xf numFmtId="0" fontId="10" fillId="0" borderId="0" xfId="0" applyFont="1" applyAlignment="1">
      <alignment horizontal="right"/>
    </xf>
    <xf numFmtId="166" fontId="6" fillId="0" borderId="0" xfId="28" applyNumberFormat="1" applyFont="1"/>
    <xf numFmtId="0" fontId="6" fillId="0" borderId="0" xfId="0" applyFont="1" applyAlignment="1">
      <alignment horizontal="center"/>
    </xf>
    <xf numFmtId="166" fontId="6" fillId="0" borderId="0" xfId="28" applyNumberFormat="1" applyFont="1" applyAlignment="1">
      <alignment horizontal="center"/>
    </xf>
    <xf numFmtId="169" fontId="6" fillId="0" borderId="0" xfId="41" applyNumberFormat="1" applyFont="1" applyAlignment="1">
      <alignment horizontal="center"/>
    </xf>
    <xf numFmtId="166" fontId="6" fillId="0" borderId="0" xfId="0" applyNumberFormat="1" applyFont="1"/>
    <xf numFmtId="169" fontId="6" fillId="0" borderId="0" xfId="0" applyNumberFormat="1" applyFont="1"/>
    <xf numFmtId="173" fontId="7" fillId="0" borderId="28" xfId="0" applyNumberFormat="1" applyFont="1" applyBorder="1"/>
    <xf numFmtId="173" fontId="7" fillId="0" borderId="29" xfId="0" applyNumberFormat="1" applyFont="1" applyBorder="1"/>
    <xf numFmtId="169" fontId="6" fillId="0" borderId="0" xfId="0" applyNumberFormat="1" applyFont="1" applyAlignment="1">
      <alignment horizontal="center"/>
    </xf>
    <xf numFmtId="173" fontId="7" fillId="0" borderId="23" xfId="0" applyNumberFormat="1" applyFont="1" applyBorder="1"/>
    <xf numFmtId="0" fontId="10" fillId="0" borderId="11" xfId="0" applyFont="1" applyBorder="1" applyAlignment="1">
      <alignment horizontal="right"/>
    </xf>
    <xf numFmtId="0" fontId="6" fillId="0" borderId="23" xfId="0" applyFont="1" applyBorder="1" applyAlignment="1">
      <alignment horizontal="center" vertical="center"/>
    </xf>
    <xf numFmtId="170" fontId="6" fillId="0" borderId="0" xfId="0" applyNumberFormat="1" applyFont="1"/>
    <xf numFmtId="0" fontId="7" fillId="0" borderId="11" xfId="0" applyFont="1" applyBorder="1"/>
    <xf numFmtId="0" fontId="10" fillId="0" borderId="11" xfId="0" applyFont="1" applyBorder="1"/>
    <xf numFmtId="0" fontId="6" fillId="0" borderId="16" xfId="0" applyFont="1" applyBorder="1"/>
    <xf numFmtId="0" fontId="7" fillId="0" borderId="30" xfId="0" applyFont="1" applyBorder="1"/>
    <xf numFmtId="0" fontId="7" fillId="0" borderId="16" xfId="0" applyFont="1" applyBorder="1"/>
    <xf numFmtId="0" fontId="11" fillId="0" borderId="0" xfId="0" applyFont="1"/>
    <xf numFmtId="173" fontId="6" fillId="0" borderId="31" xfId="0" applyNumberFormat="1" applyFont="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2" xfId="0" applyNumberFormat="1" applyFont="1" applyBorder="1"/>
    <xf numFmtId="173" fontId="7" fillId="0" borderId="10" xfId="0" applyNumberFormat="1" applyFont="1" applyBorder="1"/>
    <xf numFmtId="173" fontId="7" fillId="0" borderId="32" xfId="0" applyNumberFormat="1" applyFont="1" applyBorder="1"/>
    <xf numFmtId="173" fontId="7" fillId="0" borderId="33" xfId="0" applyNumberFormat="1" applyFont="1" applyBorder="1"/>
    <xf numFmtId="0" fontId="6" fillId="0" borderId="19" xfId="0" applyFont="1" applyBorder="1" applyAlignment="1">
      <alignment horizontal="center"/>
    </xf>
    <xf numFmtId="0" fontId="10" fillId="0" borderId="0" xfId="0" applyFont="1"/>
    <xf numFmtId="173" fontId="6" fillId="0" borderId="10" xfId="0" applyNumberFormat="1" applyFont="1" applyBorder="1"/>
    <xf numFmtId="0" fontId="7" fillId="0" borderId="34" xfId="0" applyFont="1" applyBorder="1" applyAlignment="1">
      <alignment horizontal="centerContinuous"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173" fontId="6" fillId="0" borderId="37" xfId="0" applyNumberFormat="1" applyFont="1" applyBorder="1"/>
    <xf numFmtId="173" fontId="7" fillId="0" borderId="38" xfId="0" applyNumberFormat="1" applyFont="1" applyBorder="1"/>
    <xf numFmtId="0" fontId="7" fillId="0" borderId="24" xfId="0" applyFont="1" applyBorder="1" applyAlignment="1">
      <alignment horizontal="center" vertical="center" wrapText="1"/>
    </xf>
    <xf numFmtId="171" fontId="6" fillId="0" borderId="0" xfId="0" applyNumberFormat="1" applyFont="1"/>
    <xf numFmtId="0" fontId="6" fillId="0" borderId="19" xfId="0" applyFont="1" applyBorder="1"/>
    <xf numFmtId="0" fontId="7" fillId="0" borderId="34" xfId="0" applyFont="1" applyBorder="1" applyAlignment="1">
      <alignment horizontal="center" vertical="center" wrapText="1"/>
    </xf>
    <xf numFmtId="0" fontId="7" fillId="0" borderId="10" xfId="0" applyFont="1" applyBorder="1" applyAlignment="1">
      <alignment horizontal="center" vertical="center" wrapText="1"/>
    </xf>
    <xf numFmtId="173" fontId="6" fillId="0" borderId="28" xfId="0" applyNumberFormat="1" applyFont="1" applyBorder="1"/>
    <xf numFmtId="0" fontId="7" fillId="0" borderId="39" xfId="0" applyFont="1" applyBorder="1" applyAlignment="1">
      <alignment horizontal="center" vertical="center" wrapText="1"/>
    </xf>
    <xf numFmtId="0" fontId="6" fillId="0" borderId="21" xfId="0" applyFont="1" applyBorder="1"/>
    <xf numFmtId="0" fontId="6" fillId="0" borderId="10" xfId="0" applyFont="1" applyBorder="1"/>
    <xf numFmtId="0" fontId="6" fillId="0" borderId="11" xfId="0" applyFont="1" applyBorder="1" applyAlignment="1">
      <alignment horizontal="center"/>
    </xf>
    <xf numFmtId="0" fontId="6" fillId="0" borderId="10" xfId="0" applyFont="1" applyBorder="1" applyAlignment="1">
      <alignment horizontal="center"/>
    </xf>
    <xf numFmtId="0" fontId="9" fillId="0" borderId="40" xfId="0" applyFont="1" applyBorder="1"/>
    <xf numFmtId="0" fontId="9" fillId="0" borderId="15" xfId="0" applyFont="1" applyBorder="1"/>
    <xf numFmtId="0" fontId="6" fillId="0" borderId="19" xfId="0" applyFont="1" applyBorder="1" applyAlignment="1">
      <alignment horizontal="center" vertical="center"/>
    </xf>
    <xf numFmtId="0" fontId="7" fillId="0" borderId="19" xfId="0" applyFont="1" applyBorder="1" applyAlignment="1">
      <alignment horizontal="left" vertical="center"/>
    </xf>
    <xf numFmtId="0" fontId="7" fillId="0" borderId="37" xfId="0" applyFont="1" applyBorder="1" applyAlignment="1">
      <alignment horizontal="center" vertical="center" wrapText="1"/>
    </xf>
    <xf numFmtId="173" fontId="7" fillId="0" borderId="37" xfId="0" applyNumberFormat="1" applyFont="1" applyBorder="1"/>
    <xf numFmtId="173" fontId="6" fillId="0" borderId="41" xfId="0" applyNumberFormat="1" applyFont="1" applyBorder="1"/>
    <xf numFmtId="172" fontId="6" fillId="0" borderId="24" xfId="0" applyNumberFormat="1" applyFont="1" applyBorder="1"/>
    <xf numFmtId="172" fontId="6" fillId="0" borderId="10" xfId="0" applyNumberFormat="1" applyFont="1" applyBorder="1"/>
    <xf numFmtId="0" fontId="7" fillId="0" borderId="42" xfId="0" applyFont="1" applyBorder="1" applyAlignment="1">
      <alignment horizontal="center" vertical="center" wrapText="1"/>
    </xf>
    <xf numFmtId="9" fontId="6" fillId="0" borderId="21" xfId="41" applyFont="1" applyFill="1" applyBorder="1" applyAlignment="1">
      <alignment horizontal="center"/>
    </xf>
    <xf numFmtId="172" fontId="6" fillId="0" borderId="37" xfId="0" applyNumberFormat="1" applyFont="1" applyBorder="1"/>
    <xf numFmtId="9" fontId="7" fillId="0" borderId="35" xfId="41" applyFont="1" applyFill="1" applyBorder="1" applyAlignment="1">
      <alignment horizontal="center" vertical="center" wrapText="1"/>
    </xf>
    <xf numFmtId="174" fontId="7" fillId="0" borderId="21" xfId="41" applyNumberFormat="1" applyFont="1" applyBorder="1"/>
    <xf numFmtId="174" fontId="6" fillId="0" borderId="21" xfId="41" applyNumberFormat="1" applyFont="1" applyBorder="1"/>
    <xf numFmtId="174" fontId="6" fillId="0" borderId="31" xfId="41" applyNumberFormat="1" applyFont="1" applyBorder="1"/>
    <xf numFmtId="172" fontId="6" fillId="0" borderId="19" xfId="0" applyNumberFormat="1" applyFont="1" applyBorder="1"/>
    <xf numFmtId="172" fontId="6" fillId="0" borderId="43" xfId="0" applyNumberFormat="1" applyFont="1" applyBorder="1"/>
    <xf numFmtId="174" fontId="6" fillId="0" borderId="23" xfId="41" applyNumberFormat="1" applyFont="1" applyBorder="1"/>
    <xf numFmtId="172" fontId="6" fillId="0" borderId="44" xfId="0" applyNumberFormat="1" applyFont="1" applyBorder="1"/>
    <xf numFmtId="172" fontId="6" fillId="0" borderId="40" xfId="0" applyNumberFormat="1" applyFont="1" applyBorder="1"/>
    <xf numFmtId="172" fontId="6" fillId="0" borderId="45" xfId="0" applyNumberFormat="1" applyFont="1" applyBorder="1"/>
    <xf numFmtId="174" fontId="6" fillId="0" borderId="22" xfId="41" applyNumberFormat="1" applyFont="1" applyBorder="1"/>
    <xf numFmtId="172" fontId="6" fillId="0" borderId="46" xfId="0" applyNumberFormat="1" applyFont="1" applyBorder="1"/>
    <xf numFmtId="172" fontId="6" fillId="25" borderId="21" xfId="0" applyNumberFormat="1" applyFont="1" applyFill="1" applyBorder="1"/>
    <xf numFmtId="172" fontId="6" fillId="25" borderId="23" xfId="0" applyNumberFormat="1" applyFont="1" applyFill="1" applyBorder="1"/>
    <xf numFmtId="174" fontId="6" fillId="25" borderId="21" xfId="41" applyNumberFormat="1" applyFont="1" applyFill="1" applyBorder="1"/>
    <xf numFmtId="174" fontId="6" fillId="25" borderId="23" xfId="41" applyNumberFormat="1" applyFont="1" applyFill="1" applyBorder="1"/>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7" fillId="0" borderId="46" xfId="0" applyFont="1" applyBorder="1" applyAlignment="1">
      <alignment horizontal="center"/>
    </xf>
    <xf numFmtId="9" fontId="7" fillId="0" borderId="21" xfId="41" applyFont="1" applyFill="1" applyBorder="1" applyAlignment="1">
      <alignment horizontal="center" vertical="center" wrapText="1"/>
    </xf>
    <xf numFmtId="0" fontId="6" fillId="0" borderId="24" xfId="0" applyFont="1" applyBorder="1"/>
    <xf numFmtId="0" fontId="7" fillId="0" borderId="47" xfId="0" applyFont="1" applyBorder="1" applyAlignment="1">
      <alignment horizontal="centerContinuous" vertical="center" wrapText="1"/>
    </xf>
    <xf numFmtId="0" fontId="7" fillId="0" borderId="36" xfId="0" applyFont="1" applyBorder="1" applyAlignment="1">
      <alignment horizontal="centerContinuous" vertical="center" wrapText="1"/>
    </xf>
    <xf numFmtId="0" fontId="7" fillId="0" borderId="48" xfId="0" applyFont="1" applyBorder="1" applyAlignment="1">
      <alignment horizontal="centerContinuous" vertical="center" wrapText="1"/>
    </xf>
    <xf numFmtId="0" fontId="6" fillId="0" borderId="49" xfId="0" applyFont="1" applyBorder="1" applyAlignment="1">
      <alignment horizontal="center"/>
    </xf>
    <xf numFmtId="173" fontId="7" fillId="0" borderId="44" xfId="0" applyNumberFormat="1" applyFont="1" applyBorder="1"/>
    <xf numFmtId="173" fontId="7" fillId="0" borderId="50" xfId="0" applyNumberFormat="1" applyFont="1" applyBorder="1"/>
    <xf numFmtId="0" fontId="6" fillId="0" borderId="33" xfId="0" applyFont="1" applyBorder="1" applyAlignment="1">
      <alignment horizontal="center"/>
    </xf>
    <xf numFmtId="0" fontId="7" fillId="0" borderId="24" xfId="0" applyFont="1" applyBorder="1" applyAlignment="1">
      <alignment horizontal="center"/>
    </xf>
    <xf numFmtId="0" fontId="7" fillId="0" borderId="21" xfId="0" applyFont="1" applyBorder="1" applyAlignment="1">
      <alignment horizontal="center"/>
    </xf>
    <xf numFmtId="0" fontId="7" fillId="0" borderId="37" xfId="0" applyFont="1" applyBorder="1" applyAlignment="1">
      <alignment horizontal="center"/>
    </xf>
    <xf numFmtId="0" fontId="6" fillId="0" borderId="43" xfId="0" applyFont="1" applyBorder="1"/>
    <xf numFmtId="0" fontId="6" fillId="0" borderId="23" xfId="0" applyFont="1" applyBorder="1"/>
    <xf numFmtId="9" fontId="7" fillId="0" borderId="23" xfId="41" applyFont="1" applyFill="1" applyBorder="1" applyAlignment="1">
      <alignment horizontal="center" vertical="center"/>
    </xf>
    <xf numFmtId="173" fontId="7" fillId="0" borderId="49" xfId="0" applyNumberFormat="1" applyFont="1" applyBorder="1"/>
    <xf numFmtId="173" fontId="7" fillId="0" borderId="19" xfId="0" applyNumberFormat="1" applyFont="1" applyBorder="1"/>
    <xf numFmtId="0" fontId="7" fillId="0" borderId="51" xfId="0" applyFont="1" applyBorder="1" applyAlignment="1">
      <alignment horizontal="centerContinuous" vertical="center" wrapText="1"/>
    </xf>
    <xf numFmtId="0" fontId="6" fillId="0" borderId="52" xfId="0" applyFont="1" applyBorder="1"/>
    <xf numFmtId="0" fontId="6" fillId="0" borderId="53" xfId="0" applyFont="1" applyBorder="1" applyAlignment="1">
      <alignment horizontal="center"/>
    </xf>
    <xf numFmtId="173" fontId="6" fillId="0" borderId="53" xfId="0" applyNumberFormat="1" applyFont="1" applyBorder="1"/>
    <xf numFmtId="173" fontId="7" fillId="0" borderId="10" xfId="0" applyNumberFormat="1" applyFont="1" applyBorder="1" applyAlignment="1">
      <alignment vertical="top"/>
    </xf>
    <xf numFmtId="173" fontId="7" fillId="0" borderId="24" xfId="0" applyNumberFormat="1" applyFont="1" applyBorder="1" applyAlignment="1">
      <alignment vertical="top"/>
    </xf>
    <xf numFmtId="173" fontId="7" fillId="0" borderId="21" xfId="0" applyNumberFormat="1" applyFont="1" applyBorder="1" applyAlignment="1">
      <alignment vertical="top"/>
    </xf>
    <xf numFmtId="173" fontId="7" fillId="0" borderId="37" xfId="0" applyNumberFormat="1" applyFont="1" applyBorder="1" applyAlignment="1">
      <alignment vertical="top"/>
    </xf>
    <xf numFmtId="0" fontId="7" fillId="0" borderId="54" xfId="0" applyFont="1" applyBorder="1" applyAlignment="1">
      <alignment horizontal="center" vertical="center" wrapText="1"/>
    </xf>
    <xf numFmtId="173" fontId="6" fillId="0" borderId="55" xfId="0" applyNumberFormat="1" applyFont="1" applyBorder="1"/>
    <xf numFmtId="173" fontId="7" fillId="0" borderId="55" xfId="0" applyNumberFormat="1" applyFont="1" applyBorder="1"/>
    <xf numFmtId="173" fontId="7" fillId="0" borderId="56" xfId="0" applyNumberFormat="1" applyFont="1" applyBorder="1"/>
    <xf numFmtId="173" fontId="6" fillId="0" borderId="49" xfId="0" applyNumberFormat="1" applyFont="1" applyBorder="1"/>
    <xf numFmtId="173" fontId="6" fillId="0" borderId="56" xfId="0" applyNumberFormat="1" applyFont="1" applyBorder="1"/>
    <xf numFmtId="173" fontId="6" fillId="0" borderId="38" xfId="0" applyNumberFormat="1" applyFont="1" applyBorder="1"/>
    <xf numFmtId="173" fontId="7" fillId="0" borderId="52" xfId="0" applyNumberFormat="1" applyFont="1" applyBorder="1"/>
    <xf numFmtId="173" fontId="7" fillId="0" borderId="57" xfId="0" applyNumberFormat="1" applyFont="1" applyBorder="1"/>
    <xf numFmtId="0" fontId="7" fillId="0" borderId="15" xfId="0" applyFont="1" applyBorder="1"/>
    <xf numFmtId="0" fontId="6" fillId="0" borderId="37" xfId="0" applyFont="1" applyBorder="1"/>
    <xf numFmtId="174" fontId="6" fillId="0" borderId="0" xfId="41" applyNumberFormat="1" applyFont="1" applyBorder="1"/>
    <xf numFmtId="0" fontId="7" fillId="0" borderId="58" xfId="0" applyFont="1" applyBorder="1"/>
    <xf numFmtId="9" fontId="6" fillId="0" borderId="21" xfId="41" applyFont="1" applyBorder="1" applyAlignment="1">
      <alignment horizontal="center"/>
    </xf>
    <xf numFmtId="0" fontId="6" fillId="0" borderId="12" xfId="0" applyFont="1" applyBorder="1"/>
    <xf numFmtId="0" fontId="6" fillId="0" borderId="59" xfId="0" applyFont="1" applyBorder="1"/>
    <xf numFmtId="0" fontId="5" fillId="0" borderId="14" xfId="0" applyFont="1" applyBorder="1"/>
    <xf numFmtId="0" fontId="7" fillId="0" borderId="60" xfId="0" applyFont="1" applyBorder="1"/>
    <xf numFmtId="173" fontId="6" fillId="0" borderId="14" xfId="0" applyNumberFormat="1" applyFont="1" applyBorder="1"/>
    <xf numFmtId="173" fontId="6" fillId="0" borderId="17" xfId="0" applyNumberFormat="1" applyFont="1" applyBorder="1"/>
    <xf numFmtId="0" fontId="7" fillId="0" borderId="6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59" xfId="0" applyNumberFormat="1" applyFont="1" applyBorder="1"/>
    <xf numFmtId="0" fontId="6" fillId="0" borderId="61" xfId="0" applyFont="1" applyBorder="1"/>
    <xf numFmtId="0" fontId="6" fillId="0" borderId="18" xfId="0" applyFont="1" applyBorder="1"/>
    <xf numFmtId="0" fontId="5" fillId="0" borderId="58" xfId="0" applyFont="1" applyBorder="1"/>
    <xf numFmtId="0" fontId="3" fillId="24" borderId="61" xfId="0" applyFont="1" applyFill="1" applyBorder="1" applyAlignment="1">
      <alignment horizontal="center"/>
    </xf>
    <xf numFmtId="0" fontId="3" fillId="0" borderId="0" xfId="0" applyFont="1"/>
    <xf numFmtId="0" fontId="14" fillId="26" borderId="15" xfId="0" applyFont="1" applyFill="1" applyBorder="1"/>
    <xf numFmtId="0" fontId="14" fillId="26" borderId="12" xfId="0" applyFont="1" applyFill="1" applyBorder="1" applyAlignment="1">
      <alignment horizontal="left"/>
    </xf>
    <xf numFmtId="0" fontId="14" fillId="26" borderId="40"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1" xfId="41" applyNumberFormat="1" applyFont="1" applyBorder="1"/>
    <xf numFmtId="169" fontId="6" fillId="0" borderId="10" xfId="41" applyNumberFormat="1" applyFont="1" applyFill="1" applyBorder="1" applyAlignment="1" applyProtection="1">
      <alignment horizontal="center" vertical="top" wrapText="1"/>
    </xf>
    <xf numFmtId="169" fontId="6" fillId="0" borderId="55" xfId="41" applyNumberFormat="1" applyFont="1" applyFill="1" applyBorder="1" applyAlignment="1" applyProtection="1">
      <alignment horizontal="center" vertical="top" wrapText="1"/>
    </xf>
    <xf numFmtId="169" fontId="6" fillId="0" borderId="21" xfId="41" applyNumberFormat="1" applyFont="1" applyFill="1" applyBorder="1" applyAlignment="1" applyProtection="1">
      <alignment horizontal="center" vertical="top" wrapText="1"/>
    </xf>
    <xf numFmtId="169" fontId="6" fillId="0" borderId="37" xfId="41" applyNumberFormat="1" applyFont="1" applyFill="1" applyBorder="1" applyAlignment="1" applyProtection="1">
      <alignment horizontal="center" vertical="top" wrapText="1"/>
    </xf>
    <xf numFmtId="0" fontId="2" fillId="0" borderId="0" xfId="0" applyFont="1" applyAlignment="1">
      <alignment horizontal="left"/>
    </xf>
    <xf numFmtId="0" fontId="6" fillId="0" borderId="44" xfId="0" applyFont="1" applyBorder="1" applyAlignment="1">
      <alignment horizontal="center"/>
    </xf>
    <xf numFmtId="0" fontId="6" fillId="0" borderId="37" xfId="0" applyFont="1" applyBorder="1" applyAlignment="1">
      <alignment horizontal="center"/>
    </xf>
    <xf numFmtId="0" fontId="7" fillId="0" borderId="38" xfId="0" applyFont="1" applyBorder="1" applyAlignment="1">
      <alignment horizontal="center"/>
    </xf>
    <xf numFmtId="0" fontId="6" fillId="0" borderId="17" xfId="0" applyFont="1" applyBorder="1" applyAlignment="1">
      <alignment horizontal="center" vertical="center"/>
    </xf>
    <xf numFmtId="0" fontId="6" fillId="0" borderId="23" xfId="0" applyFont="1" applyBorder="1" applyAlignment="1">
      <alignment horizontal="center"/>
    </xf>
    <xf numFmtId="0" fontId="6" fillId="0" borderId="21" xfId="0" applyFont="1" applyBorder="1" applyAlignment="1">
      <alignment horizontal="center"/>
    </xf>
    <xf numFmtId="0" fontId="12" fillId="0" borderId="21" xfId="0" applyFont="1" applyBorder="1" applyAlignment="1">
      <alignment horizontal="center"/>
    </xf>
    <xf numFmtId="0" fontId="7" fillId="0" borderId="23" xfId="0" applyFont="1" applyBorder="1" applyAlignment="1">
      <alignment horizontal="center"/>
    </xf>
    <xf numFmtId="173" fontId="7" fillId="0" borderId="35" xfId="0" applyNumberFormat="1" applyFont="1" applyBorder="1"/>
    <xf numFmtId="0" fontId="7" fillId="0" borderId="55" xfId="0" applyFont="1" applyBorder="1" applyAlignment="1">
      <alignment horizontal="center"/>
    </xf>
    <xf numFmtId="0" fontId="5" fillId="0" borderId="14" xfId="0" applyFont="1" applyBorder="1" applyAlignment="1">
      <alignment horizontal="left"/>
    </xf>
    <xf numFmtId="0" fontId="16" fillId="0" borderId="0" xfId="0" applyFont="1"/>
    <xf numFmtId="0" fontId="7" fillId="0" borderId="45" xfId="0" applyFont="1" applyBorder="1" applyAlignment="1">
      <alignment horizontal="center" vertical="center"/>
    </xf>
    <xf numFmtId="0" fontId="7" fillId="0" borderId="22" xfId="0" applyFont="1" applyBorder="1" applyAlignment="1">
      <alignment vertical="center"/>
    </xf>
    <xf numFmtId="0" fontId="7" fillId="0" borderId="23" xfId="0" applyFont="1" applyBorder="1" applyAlignment="1">
      <alignment vertical="center"/>
    </xf>
    <xf numFmtId="173" fontId="7" fillId="0" borderId="42" xfId="0" applyNumberFormat="1" applyFont="1" applyBorder="1"/>
    <xf numFmtId="0" fontId="7" fillId="0" borderId="11" xfId="0" applyFont="1" applyBorder="1" applyAlignment="1">
      <alignment horizontal="left" vertical="center"/>
    </xf>
    <xf numFmtId="0" fontId="7" fillId="0" borderId="21" xfId="0" applyFont="1" applyBorder="1" applyAlignment="1">
      <alignment vertical="center"/>
    </xf>
    <xf numFmtId="173" fontId="7" fillId="0" borderId="62" xfId="0" applyNumberFormat="1" applyFont="1" applyBorder="1"/>
    <xf numFmtId="173" fontId="7" fillId="0" borderId="39" xfId="0" applyNumberFormat="1" applyFont="1" applyBorder="1"/>
    <xf numFmtId="173" fontId="7" fillId="0" borderId="63" xfId="0" applyNumberFormat="1" applyFont="1" applyBorder="1"/>
    <xf numFmtId="0" fontId="6" fillId="0" borderId="46" xfId="0" applyFont="1" applyBorder="1" applyAlignment="1">
      <alignment horizontal="center"/>
    </xf>
    <xf numFmtId="0" fontId="6" fillId="0" borderId="41" xfId="0" applyFont="1" applyBorder="1" applyAlignment="1">
      <alignment horizontal="center"/>
    </xf>
    <xf numFmtId="0" fontId="7" fillId="0" borderId="25" xfId="0" applyFont="1" applyBorder="1" applyAlignment="1">
      <alignment horizontal="left"/>
    </xf>
    <xf numFmtId="0" fontId="7" fillId="0" borderId="33" xfId="0" applyFont="1" applyBorder="1"/>
    <xf numFmtId="0" fontId="6" fillId="0" borderId="50" xfId="0" applyFont="1" applyBorder="1" applyAlignment="1">
      <alignment horizontal="center"/>
    </xf>
    <xf numFmtId="173" fontId="7" fillId="0" borderId="54" xfId="0" applyNumberFormat="1" applyFont="1" applyBorder="1"/>
    <xf numFmtId="173" fontId="6" fillId="0" borderId="64" xfId="0" applyNumberFormat="1" applyFont="1" applyBorder="1"/>
    <xf numFmtId="173" fontId="7" fillId="0" borderId="53" xfId="0" applyNumberFormat="1" applyFont="1" applyBorder="1"/>
    <xf numFmtId="173" fontId="7" fillId="0" borderId="31" xfId="0" applyNumberFormat="1" applyFont="1" applyBorder="1"/>
    <xf numFmtId="173" fontId="7" fillId="0" borderId="41" xfId="0" applyNumberFormat="1" applyFont="1" applyBorder="1"/>
    <xf numFmtId="0" fontId="6" fillId="0" borderId="28"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55" xfId="41" applyNumberFormat="1" applyFont="1" applyBorder="1"/>
    <xf numFmtId="174" fontId="7" fillId="0" borderId="21" xfId="41" applyNumberFormat="1" applyFont="1" applyBorder="1" applyAlignment="1">
      <alignment vertical="top"/>
    </xf>
    <xf numFmtId="174" fontId="7" fillId="0" borderId="55" xfId="41" applyNumberFormat="1" applyFont="1" applyBorder="1" applyAlignment="1">
      <alignment vertical="top"/>
    </xf>
    <xf numFmtId="174" fontId="7" fillId="0" borderId="35" xfId="41" applyNumberFormat="1" applyFont="1" applyBorder="1"/>
    <xf numFmtId="172" fontId="7" fillId="25" borderId="21" xfId="0" applyNumberFormat="1" applyFont="1" applyFill="1" applyBorder="1"/>
    <xf numFmtId="174" fontId="7" fillId="25" borderId="21" xfId="41" applyNumberFormat="1" applyFont="1" applyFill="1" applyBorder="1"/>
    <xf numFmtId="9" fontId="7" fillId="0" borderId="28" xfId="41" applyFont="1" applyFill="1" applyBorder="1" applyAlignment="1">
      <alignment horizontal="center"/>
    </xf>
    <xf numFmtId="166" fontId="10" fillId="0" borderId="0" xfId="28" applyNumberFormat="1" applyFont="1" applyBorder="1" applyAlignment="1">
      <alignment horizontal="right"/>
    </xf>
    <xf numFmtId="9" fontId="7" fillId="0" borderId="23" xfId="41" applyFont="1" applyFill="1" applyBorder="1" applyAlignment="1">
      <alignment horizontal="center"/>
    </xf>
    <xf numFmtId="173" fontId="6" fillId="0" borderId="37" xfId="29" applyNumberFormat="1" applyFont="1" applyFill="1" applyBorder="1" applyProtection="1"/>
    <xf numFmtId="0" fontId="3" fillId="28" borderId="65" xfId="0" applyFont="1" applyFill="1" applyBorder="1" applyAlignment="1">
      <alignment horizontal="center"/>
    </xf>
    <xf numFmtId="173" fontId="6" fillId="0" borderId="55" xfId="28" applyNumberFormat="1" applyFont="1" applyFill="1" applyBorder="1" applyProtection="1"/>
    <xf numFmtId="173" fontId="6" fillId="0" borderId="21" xfId="28" applyNumberFormat="1" applyFont="1" applyFill="1" applyBorder="1" applyProtection="1"/>
    <xf numFmtId="173" fontId="6" fillId="0" borderId="37" xfId="28" applyNumberFormat="1" applyFont="1" applyFill="1" applyBorder="1" applyProtection="1"/>
    <xf numFmtId="9" fontId="6" fillId="0" borderId="37" xfId="41" applyFont="1" applyFill="1" applyBorder="1" applyAlignment="1" applyProtection="1">
      <alignment horizontal="center"/>
    </xf>
    <xf numFmtId="166" fontId="6" fillId="0" borderId="0" xfId="28" applyNumberFormat="1" applyFont="1" applyFill="1" applyProtection="1"/>
    <xf numFmtId="0" fontId="0" fillId="29" borderId="0" xfId="0" applyFill="1" applyProtection="1">
      <protection locked="0"/>
    </xf>
    <xf numFmtId="0" fontId="13" fillId="0" borderId="0" xfId="0" applyFont="1"/>
    <xf numFmtId="49" fontId="0" fillId="29" borderId="0" xfId="0" applyNumberFormat="1" applyFill="1" applyProtection="1">
      <protection locked="0"/>
    </xf>
    <xf numFmtId="0" fontId="1" fillId="29" borderId="0" xfId="0" applyFont="1" applyFill="1" applyProtection="1">
      <protection locked="0"/>
    </xf>
    <xf numFmtId="166" fontId="10" fillId="0" borderId="0" xfId="28" applyNumberFormat="1" applyFont="1"/>
    <xf numFmtId="167" fontId="10" fillId="0" borderId="0" xfId="28" applyNumberFormat="1" applyFont="1"/>
    <xf numFmtId="9" fontId="7" fillId="0" borderId="21" xfId="41" applyFont="1" applyFill="1" applyBorder="1" applyAlignment="1">
      <alignment horizontal="center"/>
    </xf>
    <xf numFmtId="169" fontId="7" fillId="0" borderId="21" xfId="0" applyNumberFormat="1" applyFont="1" applyBorder="1" applyAlignment="1">
      <alignment horizontal="center"/>
    </xf>
    <xf numFmtId="169" fontId="6" fillId="0" borderId="21" xfId="41" applyNumberFormat="1" applyFont="1" applyBorder="1" applyAlignment="1">
      <alignment horizontal="center"/>
    </xf>
    <xf numFmtId="169" fontId="7" fillId="0" borderId="28" xfId="0" applyNumberFormat="1" applyFont="1" applyBorder="1"/>
    <xf numFmtId="169" fontId="6" fillId="0" borderId="21" xfId="0" applyNumberFormat="1" applyFont="1" applyBorder="1"/>
    <xf numFmtId="169" fontId="7" fillId="0" borderId="35" xfId="41" applyNumberFormat="1" applyFont="1" applyBorder="1" applyAlignment="1">
      <alignment horizontal="center"/>
    </xf>
    <xf numFmtId="169" fontId="7" fillId="0" borderId="26" xfId="41" applyNumberFormat="1" applyFont="1" applyBorder="1" applyAlignment="1">
      <alignment horizontal="center"/>
    </xf>
    <xf numFmtId="173" fontId="7" fillId="0" borderId="38" xfId="41" applyNumberFormat="1" applyFont="1" applyFill="1" applyBorder="1"/>
    <xf numFmtId="0" fontId="2" fillId="32" borderId="40"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59"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65"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Alignment="1" applyProtection="1">
      <alignment horizontal="left"/>
      <protection locked="0"/>
    </xf>
    <xf numFmtId="0" fontId="41" fillId="33" borderId="0" xfId="0" applyFont="1" applyFill="1"/>
    <xf numFmtId="0" fontId="35" fillId="33" borderId="0" xfId="0" applyFont="1" applyFill="1" applyProtection="1">
      <protection locked="0"/>
    </xf>
    <xf numFmtId="0" fontId="41" fillId="33" borderId="0" xfId="0" applyFont="1" applyFill="1" applyAlignment="1">
      <alignment horizontal="right"/>
    </xf>
    <xf numFmtId="0" fontId="41" fillId="33" borderId="11" xfId="0" applyFont="1" applyFill="1" applyBorder="1" applyAlignment="1" applyProtection="1">
      <alignment horizontal="left" indent="1"/>
      <protection locked="0"/>
    </xf>
    <xf numFmtId="0" fontId="35" fillId="32" borderId="0" xfId="0" applyFont="1" applyFill="1" applyAlignment="1" applyProtection="1">
      <alignment horizontal="left" indent="1"/>
      <protection locked="0"/>
    </xf>
    <xf numFmtId="49" fontId="41" fillId="33" borderId="0" xfId="0" applyNumberFormat="1" applyFont="1" applyFill="1" applyAlignment="1">
      <alignment horizontal="right"/>
    </xf>
    <xf numFmtId="0" fontId="38" fillId="32" borderId="65" xfId="0" applyFont="1" applyFill="1" applyBorder="1" applyProtection="1">
      <protection locked="0"/>
    </xf>
    <xf numFmtId="49" fontId="42" fillId="33" borderId="0" xfId="0" applyNumberFormat="1" applyFont="1" applyFill="1" applyAlignment="1">
      <alignment horizontal="right"/>
    </xf>
    <xf numFmtId="0" fontId="42" fillId="33" borderId="0" xfId="0" applyFont="1" applyFill="1" applyAlignment="1">
      <alignment horizontal="right"/>
    </xf>
    <xf numFmtId="0" fontId="41" fillId="33" borderId="0" xfId="0" applyFont="1" applyFill="1" applyProtection="1">
      <protection locked="0"/>
    </xf>
    <xf numFmtId="0" fontId="43" fillId="33" borderId="0" xfId="0" applyFont="1" applyFill="1"/>
    <xf numFmtId="0" fontId="39" fillId="33" borderId="0" xfId="0" applyFont="1" applyFill="1"/>
    <xf numFmtId="0" fontId="44" fillId="33" borderId="0" xfId="0" applyFont="1" applyFill="1" applyAlignment="1">
      <alignment horizontal="right"/>
    </xf>
    <xf numFmtId="0" fontId="5" fillId="0" borderId="0" xfId="0" applyFont="1"/>
    <xf numFmtId="0" fontId="34" fillId="0" borderId="0" xfId="0" applyFont="1"/>
    <xf numFmtId="14" fontId="0" fillId="0" borderId="0" xfId="0" applyNumberFormat="1" applyProtection="1">
      <protection locked="0"/>
    </xf>
    <xf numFmtId="15" fontId="0" fillId="0" borderId="0" xfId="0" applyNumberFormat="1" applyProtection="1">
      <protection locked="0"/>
    </xf>
    <xf numFmtId="0" fontId="1" fillId="0" borderId="0" xfId="0" applyFont="1"/>
    <xf numFmtId="0" fontId="1" fillId="0" borderId="0" xfId="0" applyFont="1" applyAlignment="1">
      <alignment vertical="center"/>
    </xf>
    <xf numFmtId="9" fontId="6" fillId="0" borderId="21" xfId="41" applyFont="1" applyFill="1" applyBorder="1" applyAlignment="1" applyProtection="1">
      <alignment horizontal="center"/>
    </xf>
    <xf numFmtId="0" fontId="6" fillId="0" borderId="0" xfId="0" applyFont="1" applyAlignment="1">
      <alignment horizontal="left" vertical="top" wrapText="1" indent="1"/>
    </xf>
    <xf numFmtId="173" fontId="6" fillId="0" borderId="32" xfId="0" applyNumberFormat="1" applyFont="1" applyBorder="1" applyAlignment="1">
      <alignment horizontal="left" vertical="top" wrapText="1" indent="1"/>
    </xf>
    <xf numFmtId="0" fontId="9" fillId="0" borderId="10" xfId="0" applyFont="1" applyBorder="1"/>
    <xf numFmtId="0" fontId="6" fillId="0" borderId="10" xfId="0" applyFont="1" applyBorder="1" applyAlignment="1">
      <alignment horizontal="left" indent="1"/>
    </xf>
    <xf numFmtId="0" fontId="6" fillId="0" borderId="53" xfId="0" applyFont="1" applyBorder="1" applyAlignment="1">
      <alignment horizontal="left" indent="1"/>
    </xf>
    <xf numFmtId="173" fontId="6" fillId="0" borderId="67" xfId="0" applyNumberFormat="1" applyFont="1" applyBorder="1"/>
    <xf numFmtId="0" fontId="7" fillId="0" borderId="10" xfId="0" applyFont="1" applyBorder="1" applyAlignment="1">
      <alignment wrapText="1"/>
    </xf>
    <xf numFmtId="173" fontId="7" fillId="0" borderId="32" xfId="0" applyNumberFormat="1" applyFont="1" applyBorder="1" applyAlignment="1">
      <alignment vertical="top"/>
    </xf>
    <xf numFmtId="0" fontId="7" fillId="0" borderId="10" xfId="0" applyFont="1" applyBorder="1"/>
    <xf numFmtId="173" fontId="7" fillId="0" borderId="64" xfId="0" applyNumberFormat="1" applyFont="1" applyBorder="1"/>
    <xf numFmtId="173" fontId="7" fillId="0" borderId="67" xfId="0" applyNumberFormat="1" applyFont="1" applyBorder="1"/>
    <xf numFmtId="173" fontId="6" fillId="0" borderId="10" xfId="0" applyNumberFormat="1" applyFont="1" applyBorder="1" applyAlignment="1">
      <alignment horizontal="left" vertical="top" wrapText="1" indent="1"/>
    </xf>
    <xf numFmtId="173" fontId="6" fillId="0" borderId="24" xfId="0" applyNumberFormat="1" applyFont="1" applyBorder="1" applyAlignment="1">
      <alignment horizontal="left" vertical="top" wrapText="1" indent="1"/>
    </xf>
    <xf numFmtId="173" fontId="6" fillId="0" borderId="21" xfId="0" applyNumberFormat="1" applyFont="1" applyBorder="1" applyAlignment="1">
      <alignment horizontal="left" vertical="top" wrapText="1" indent="1"/>
    </xf>
    <xf numFmtId="173" fontId="6" fillId="0" borderId="37" xfId="0" applyNumberFormat="1" applyFont="1" applyBorder="1" applyAlignment="1">
      <alignment horizontal="left" vertical="top" wrapText="1" indent="1"/>
    </xf>
    <xf numFmtId="0" fontId="6" fillId="0" borderId="10" xfId="0" applyFont="1" applyBorder="1" applyAlignment="1">
      <alignment horizontal="left" wrapText="1" indent="1"/>
    </xf>
    <xf numFmtId="0" fontId="7" fillId="0" borderId="19" xfId="0" applyFont="1" applyBorder="1"/>
    <xf numFmtId="0" fontId="7" fillId="0" borderId="48" xfId="0" applyFont="1" applyBorder="1" applyAlignment="1">
      <alignment horizontal="center" vertical="center" wrapText="1"/>
    </xf>
    <xf numFmtId="0" fontId="7" fillId="0" borderId="47" xfId="0" applyFont="1" applyBorder="1" applyAlignment="1">
      <alignment horizontal="center" vertical="center" wrapText="1"/>
    </xf>
    <xf numFmtId="171" fontId="6" fillId="0" borderId="19" xfId="0" applyNumberFormat="1" applyFont="1" applyBorder="1"/>
    <xf numFmtId="171" fontId="6" fillId="0" borderId="43" xfId="0" applyNumberFormat="1" applyFont="1" applyBorder="1"/>
    <xf numFmtId="171" fontId="6" fillId="0" borderId="23" xfId="0" applyNumberFormat="1" applyFont="1" applyBorder="1"/>
    <xf numFmtId="171" fontId="6" fillId="0" borderId="44" xfId="0" applyNumberFormat="1" applyFont="1" applyBorder="1"/>
    <xf numFmtId="0" fontId="8" fillId="0" borderId="11" xfId="0" applyFont="1" applyBorder="1" applyAlignment="1">
      <alignment horizontal="left" indent="1"/>
    </xf>
    <xf numFmtId="173" fontId="7" fillId="0" borderId="68" xfId="0" applyNumberFormat="1" applyFont="1" applyBorder="1"/>
    <xf numFmtId="0" fontId="11" fillId="0" borderId="0" xfId="0" applyFont="1" applyAlignment="1">
      <alignment horizontal="left"/>
    </xf>
    <xf numFmtId="170" fontId="8" fillId="0" borderId="0" xfId="0" applyNumberFormat="1" applyFont="1"/>
    <xf numFmtId="0" fontId="10" fillId="0" borderId="0" xfId="0" quotePrefix="1" applyFont="1"/>
    <xf numFmtId="170" fontId="7" fillId="0" borderId="0" xfId="0" applyNumberFormat="1" applyFont="1"/>
    <xf numFmtId="0" fontId="7" fillId="0" borderId="0" xfId="0" applyFont="1" applyAlignment="1">
      <alignment horizontal="center"/>
    </xf>
    <xf numFmtId="0" fontId="6" fillId="0" borderId="0" xfId="0" applyFont="1" applyAlignment="1">
      <alignment horizontal="right"/>
    </xf>
    <xf numFmtId="168" fontId="6" fillId="0" borderId="0" xfId="0" applyNumberFormat="1" applyFont="1"/>
    <xf numFmtId="0" fontId="10" fillId="0" borderId="0" xfId="0" quotePrefix="1" applyFont="1" applyAlignment="1">
      <alignment horizontal="left" wrapText="1"/>
    </xf>
    <xf numFmtId="168" fontId="7" fillId="0" borderId="0" xfId="0" applyNumberFormat="1" applyFont="1"/>
    <xf numFmtId="0" fontId="36" fillId="0" borderId="0" xfId="0" applyFont="1"/>
    <xf numFmtId="9" fontId="7" fillId="0" borderId="21" xfId="41" applyFont="1" applyFill="1" applyBorder="1" applyAlignment="1" applyProtection="1">
      <alignment horizontal="center" vertical="center" wrapText="1"/>
    </xf>
    <xf numFmtId="9" fontId="7" fillId="0" borderId="23" xfId="41" applyFont="1" applyFill="1" applyBorder="1" applyAlignment="1" applyProtection="1">
      <alignment horizontal="center" vertical="center"/>
    </xf>
    <xf numFmtId="0" fontId="7" fillId="0" borderId="22" xfId="0" applyFont="1" applyBorder="1" applyAlignment="1">
      <alignment horizontal="center"/>
    </xf>
    <xf numFmtId="9" fontId="6" fillId="0" borderId="28" xfId="41" applyFont="1" applyFill="1" applyBorder="1" applyAlignment="1" applyProtection="1">
      <alignment horizontal="center"/>
    </xf>
    <xf numFmtId="0" fontId="6" fillId="0" borderId="24" xfId="0" applyFont="1" applyBorder="1" applyAlignment="1">
      <alignment horizontal="left" indent="2"/>
    </xf>
    <xf numFmtId="173" fontId="6" fillId="0" borderId="35" xfId="0" applyNumberFormat="1" applyFont="1" applyBorder="1"/>
    <xf numFmtId="173" fontId="6" fillId="0" borderId="39" xfId="0" applyNumberFormat="1" applyFont="1" applyBorder="1"/>
    <xf numFmtId="0" fontId="35" fillId="0" borderId="24" xfId="0" applyFont="1" applyBorder="1" applyAlignment="1">
      <alignment horizontal="left" vertical="top" wrapText="1" indent="3"/>
    </xf>
    <xf numFmtId="173" fontId="6" fillId="32" borderId="21" xfId="0" applyNumberFormat="1" applyFont="1" applyFill="1" applyBorder="1"/>
    <xf numFmtId="173" fontId="6" fillId="32" borderId="37" xfId="0" applyNumberFormat="1" applyFont="1" applyFill="1" applyBorder="1"/>
    <xf numFmtId="0" fontId="6" fillId="0" borderId="26" xfId="0" applyFont="1" applyBorder="1" applyAlignment="1">
      <alignment horizontal="center"/>
    </xf>
    <xf numFmtId="0" fontId="8" fillId="0" borderId="0" xfId="0" applyFont="1"/>
    <xf numFmtId="166" fontId="10" fillId="0" borderId="0" xfId="28" applyNumberFormat="1" applyFont="1" applyBorder="1" applyAlignment="1" applyProtection="1">
      <alignment horizontal="right"/>
    </xf>
    <xf numFmtId="166" fontId="10" fillId="0" borderId="0" xfId="28" applyNumberFormat="1" applyFont="1" applyFill="1" applyBorder="1" applyAlignment="1" applyProtection="1">
      <alignment horizontal="right"/>
    </xf>
    <xf numFmtId="0" fontId="7" fillId="24" borderId="59" xfId="0" applyFont="1" applyFill="1" applyBorder="1" applyAlignment="1">
      <alignment horizontal="center" vertical="top" wrapText="1"/>
    </xf>
    <xf numFmtId="0" fontId="7" fillId="24" borderId="40" xfId="0" applyFont="1" applyFill="1" applyBorder="1" applyAlignment="1">
      <alignment horizontal="center" vertical="top" wrapText="1"/>
    </xf>
    <xf numFmtId="0" fontId="7" fillId="0" borderId="13" xfId="0" applyFont="1" applyBorder="1" applyAlignment="1">
      <alignment horizontal="center"/>
    </xf>
    <xf numFmtId="0" fontId="7" fillId="0" borderId="10" xfId="0" applyFont="1" applyBorder="1" applyAlignment="1">
      <alignment horizontal="center"/>
    </xf>
    <xf numFmtId="0" fontId="6" fillId="0" borderId="32" xfId="0" applyFont="1" applyBorder="1" applyAlignment="1">
      <alignment horizontal="center" vertical="center"/>
    </xf>
    <xf numFmtId="0" fontId="6" fillId="0" borderId="45" xfId="0" applyFont="1" applyBorder="1"/>
    <xf numFmtId="0" fontId="6" fillId="0" borderId="22" xfId="0" applyFont="1" applyBorder="1"/>
    <xf numFmtId="0" fontId="6" fillId="0" borderId="0" xfId="0" applyFont="1" applyAlignment="1">
      <alignment horizontal="center" vertical="center"/>
    </xf>
    <xf numFmtId="0" fontId="6" fillId="0" borderId="21" xfId="0" applyFont="1" applyBorder="1" applyAlignment="1">
      <alignment horizontal="center" vertical="center"/>
    </xf>
    <xf numFmtId="9" fontId="7" fillId="0" borderId="21" xfId="41" applyFont="1" applyFill="1" applyBorder="1" applyAlignment="1" applyProtection="1">
      <alignment horizontal="center" vertical="center"/>
    </xf>
    <xf numFmtId="0" fontId="6" fillId="0" borderId="13" xfId="0" applyFont="1" applyBorder="1" applyAlignment="1">
      <alignment horizontal="center" vertical="center"/>
    </xf>
    <xf numFmtId="173" fontId="7" fillId="0" borderId="32" xfId="0" applyNumberFormat="1" applyFont="1" applyBorder="1" applyAlignment="1">
      <alignment horizontal="right"/>
    </xf>
    <xf numFmtId="173" fontId="7" fillId="0" borderId="21" xfId="0" applyNumberFormat="1" applyFont="1" applyBorder="1" applyAlignment="1">
      <alignment horizontal="right"/>
    </xf>
    <xf numFmtId="173" fontId="7" fillId="0" borderId="0" xfId="0" applyNumberFormat="1" applyFont="1" applyAlignment="1">
      <alignment horizontal="right"/>
    </xf>
    <xf numFmtId="9" fontId="6" fillId="0" borderId="21" xfId="41" applyFont="1" applyBorder="1" applyAlignment="1" applyProtection="1">
      <alignment horizontal="center"/>
    </xf>
    <xf numFmtId="173" fontId="6" fillId="32" borderId="32" xfId="0" applyNumberFormat="1" applyFont="1" applyFill="1" applyBorder="1" applyAlignment="1">
      <alignment horizontal="right"/>
    </xf>
    <xf numFmtId="170" fontId="6" fillId="0" borderId="13" xfId="0" applyNumberFormat="1" applyFont="1" applyBorder="1"/>
    <xf numFmtId="170" fontId="6" fillId="0" borderId="10" xfId="0" applyNumberFormat="1" applyFont="1" applyBorder="1"/>
    <xf numFmtId="0" fontId="7" fillId="0" borderId="24" xfId="0" applyFont="1" applyBorder="1" applyAlignment="1">
      <alignment horizontal="left" indent="1"/>
    </xf>
    <xf numFmtId="0" fontId="6" fillId="0" borderId="24" xfId="0" applyFont="1" applyBorder="1" applyAlignment="1">
      <alignment horizontal="left" indent="1"/>
    </xf>
    <xf numFmtId="173" fontId="7" fillId="0" borderId="35" xfId="0" applyNumberFormat="1" applyFont="1" applyBorder="1" applyAlignment="1">
      <alignment horizontal="right"/>
    </xf>
    <xf numFmtId="173" fontId="7" fillId="0" borderId="69" xfId="0" applyNumberFormat="1" applyFont="1" applyBorder="1" applyAlignment="1">
      <alignment horizontal="right"/>
    </xf>
    <xf numFmtId="9" fontId="6" fillId="0" borderId="35" xfId="41" applyFont="1" applyBorder="1" applyAlignment="1" applyProtection="1">
      <alignment horizontal="center"/>
    </xf>
    <xf numFmtId="173" fontId="6" fillId="0" borderId="71" xfId="0" applyNumberFormat="1" applyFont="1" applyBorder="1"/>
    <xf numFmtId="173" fontId="6" fillId="0" borderId="43" xfId="0" applyNumberFormat="1" applyFont="1" applyBorder="1"/>
    <xf numFmtId="173" fontId="6" fillId="0" borderId="23" xfId="0" applyNumberFormat="1" applyFont="1" applyBorder="1"/>
    <xf numFmtId="0" fontId="6" fillId="0" borderId="22" xfId="0" applyFont="1" applyBorder="1" applyAlignment="1">
      <alignment horizontal="center"/>
    </xf>
    <xf numFmtId="173" fontId="6" fillId="0" borderId="22" xfId="0" applyNumberFormat="1" applyFont="1" applyBorder="1"/>
    <xf numFmtId="173" fontId="6" fillId="32" borderId="32" xfId="0" applyNumberFormat="1" applyFont="1" applyFill="1" applyBorder="1"/>
    <xf numFmtId="173" fontId="6" fillId="32" borderId="24" xfId="0" applyNumberFormat="1" applyFont="1" applyFill="1" applyBorder="1"/>
    <xf numFmtId="173" fontId="6" fillId="32" borderId="13" xfId="0" applyNumberFormat="1" applyFont="1" applyFill="1" applyBorder="1"/>
    <xf numFmtId="173" fontId="7" fillId="0" borderId="69" xfId="0" applyNumberFormat="1" applyFont="1" applyBorder="1"/>
    <xf numFmtId="170" fontId="7" fillId="0" borderId="13" xfId="0" applyNumberFormat="1" applyFont="1" applyBorder="1"/>
    <xf numFmtId="170" fontId="7" fillId="0" borderId="10" xfId="0" applyNumberFormat="1" applyFont="1" applyBorder="1"/>
    <xf numFmtId="170" fontId="7" fillId="0" borderId="73" xfId="0" applyNumberFormat="1" applyFont="1" applyBorder="1"/>
    <xf numFmtId="170" fontId="7" fillId="0" borderId="74" xfId="0" applyNumberFormat="1" applyFont="1" applyBorder="1"/>
    <xf numFmtId="173" fontId="7" fillId="0" borderId="75" xfId="0" applyNumberFormat="1" applyFont="1" applyBorder="1"/>
    <xf numFmtId="173" fontId="7" fillId="0" borderId="76" xfId="0" applyNumberFormat="1" applyFont="1" applyBorder="1"/>
    <xf numFmtId="166" fontId="6" fillId="0" borderId="0" xfId="28" applyNumberFormat="1" applyFont="1" applyProtection="1"/>
    <xf numFmtId="9" fontId="7" fillId="0" borderId="35" xfId="41" applyFont="1" applyFill="1" applyBorder="1" applyAlignment="1" applyProtection="1">
      <alignment horizontal="center" vertical="center" wrapText="1"/>
    </xf>
    <xf numFmtId="0" fontId="7" fillId="0" borderId="40" xfId="0" applyFont="1" applyBorder="1" applyAlignment="1">
      <alignment horizontal="center"/>
    </xf>
    <xf numFmtId="0" fontId="7" fillId="0" borderId="45" xfId="0" applyFont="1" applyBorder="1" applyAlignment="1">
      <alignment horizontal="center"/>
    </xf>
    <xf numFmtId="173" fontId="6" fillId="32" borderId="10" xfId="0" applyNumberFormat="1" applyFont="1" applyFill="1" applyBorder="1"/>
    <xf numFmtId="0" fontId="7" fillId="0" borderId="30" xfId="0" applyFont="1" applyBorder="1" applyAlignment="1">
      <alignment horizontal="left" wrapText="1"/>
    </xf>
    <xf numFmtId="0" fontId="6" fillId="0" borderId="38" xfId="0" applyFont="1" applyBorder="1" applyAlignment="1">
      <alignment horizontal="center"/>
    </xf>
    <xf numFmtId="173" fontId="7" fillId="0" borderId="49" xfId="0" applyNumberFormat="1" applyFont="1" applyBorder="1" applyAlignment="1">
      <alignment vertical="top"/>
    </xf>
    <xf numFmtId="173" fontId="7" fillId="0" borderId="29" xfId="0" applyNumberFormat="1" applyFont="1" applyBorder="1" applyAlignment="1">
      <alignment vertical="top"/>
    </xf>
    <xf numFmtId="173" fontId="7" fillId="0" borderId="28" xfId="0" applyNumberFormat="1" applyFont="1" applyBorder="1" applyAlignment="1">
      <alignment vertical="top"/>
    </xf>
    <xf numFmtId="9" fontId="7" fillId="0" borderId="28" xfId="41" applyFont="1" applyBorder="1" applyAlignment="1" applyProtection="1">
      <alignment horizontal="center" vertical="top"/>
    </xf>
    <xf numFmtId="173" fontId="7" fillId="0" borderId="38" xfId="0" applyNumberFormat="1" applyFont="1" applyBorder="1" applyAlignment="1">
      <alignment vertical="top"/>
    </xf>
    <xf numFmtId="0" fontId="12" fillId="0" borderId="37" xfId="0" applyFont="1" applyBorder="1" applyAlignment="1">
      <alignment horizontal="center"/>
    </xf>
    <xf numFmtId="9" fontId="7" fillId="0" borderId="28" xfId="41" applyFont="1" applyBorder="1" applyAlignment="1" applyProtection="1">
      <alignment horizontal="center"/>
    </xf>
    <xf numFmtId="0" fontId="6" fillId="0" borderId="11" xfId="0" applyFont="1" applyBorder="1" applyAlignment="1">
      <alignment horizontal="left" wrapText="1" indent="1"/>
    </xf>
    <xf numFmtId="173" fontId="6" fillId="32" borderId="53" xfId="0" applyNumberFormat="1" applyFont="1" applyFill="1" applyBorder="1"/>
    <xf numFmtId="173" fontId="6" fillId="32" borderId="64" xfId="0" applyNumberFormat="1" applyFont="1" applyFill="1" applyBorder="1"/>
    <xf numFmtId="173" fontId="6" fillId="32" borderId="31" xfId="0" applyNumberFormat="1" applyFont="1" applyFill="1" applyBorder="1"/>
    <xf numFmtId="173" fontId="6" fillId="32" borderId="41" xfId="0" applyNumberFormat="1" applyFont="1" applyFill="1" applyBorder="1"/>
    <xf numFmtId="0" fontId="7" fillId="0" borderId="11" xfId="0" applyFont="1" applyBorder="1" applyAlignment="1">
      <alignment vertical="top" wrapText="1"/>
    </xf>
    <xf numFmtId="0" fontId="6" fillId="0" borderId="37" xfId="0" applyFont="1" applyBorder="1" applyAlignment="1">
      <alignment horizontal="center" vertical="top"/>
    </xf>
    <xf numFmtId="173" fontId="7" fillId="25" borderId="21" xfId="0" applyNumberFormat="1" applyFont="1" applyFill="1" applyBorder="1"/>
    <xf numFmtId="173" fontId="6" fillId="25" borderId="21" xfId="0" applyNumberFormat="1" applyFont="1" applyFill="1" applyBorder="1"/>
    <xf numFmtId="0" fontId="7" fillId="0" borderId="11" xfId="0" applyFont="1" applyBorder="1" applyAlignment="1">
      <alignment wrapText="1"/>
    </xf>
    <xf numFmtId="173" fontId="7" fillId="0" borderId="39" xfId="0" applyNumberFormat="1" applyFont="1" applyBorder="1" applyAlignment="1">
      <alignment vertical="top"/>
    </xf>
    <xf numFmtId="173" fontId="7" fillId="0" borderId="35" xfId="0" applyNumberFormat="1" applyFont="1" applyBorder="1" applyAlignment="1">
      <alignment vertical="top"/>
    </xf>
    <xf numFmtId="173" fontId="7" fillId="0" borderId="43" xfId="0" applyNumberFormat="1" applyFont="1" applyBorder="1"/>
    <xf numFmtId="173" fontId="7" fillId="25" borderId="23" xfId="0" applyNumberFormat="1" applyFont="1" applyFill="1" applyBorder="1"/>
    <xf numFmtId="0" fontId="6" fillId="0" borderId="0" xfId="0" quotePrefix="1" applyFont="1"/>
    <xf numFmtId="166" fontId="10" fillId="0" borderId="0" xfId="28" applyNumberFormat="1" applyFont="1" applyProtection="1"/>
    <xf numFmtId="9" fontId="7" fillId="0" borderId="21" xfId="41" applyFont="1" applyBorder="1" applyAlignment="1" applyProtection="1">
      <alignment horizontal="center"/>
    </xf>
    <xf numFmtId="0" fontId="7" fillId="0" borderId="77" xfId="0" applyFont="1" applyBorder="1" applyAlignment="1">
      <alignment horizontal="left"/>
    </xf>
    <xf numFmtId="0" fontId="6" fillId="0" borderId="35" xfId="0" applyFont="1" applyBorder="1" applyAlignment="1">
      <alignment horizontal="center"/>
    </xf>
    <xf numFmtId="0" fontId="7" fillId="0" borderId="40" xfId="0" applyFont="1" applyBorder="1" applyAlignment="1">
      <alignment horizontal="center" vertical="center"/>
    </xf>
    <xf numFmtId="0" fontId="7" fillId="0" borderId="40" xfId="0" applyFont="1" applyBorder="1" applyAlignment="1">
      <alignment horizontal="center" vertical="center" wrapText="1"/>
    </xf>
    <xf numFmtId="0" fontId="6" fillId="0" borderId="40" xfId="0" applyFont="1" applyBorder="1" applyAlignment="1">
      <alignment horizontal="center"/>
    </xf>
    <xf numFmtId="0" fontId="7" fillId="0" borderId="78" xfId="0" applyFont="1" applyBorder="1" applyAlignment="1">
      <alignment horizontal="center"/>
    </xf>
    <xf numFmtId="170" fontId="6" fillId="0" borderId="55" xfId="0" applyNumberFormat="1" applyFont="1" applyBorder="1"/>
    <xf numFmtId="170" fontId="6" fillId="0" borderId="21" xfId="0" applyNumberFormat="1" applyFont="1" applyBorder="1"/>
    <xf numFmtId="170" fontId="6" fillId="0" borderId="37" xfId="0" applyNumberFormat="1" applyFont="1" applyBorder="1"/>
    <xf numFmtId="173" fontId="6" fillId="32" borderId="55" xfId="0" applyNumberFormat="1" applyFont="1" applyFill="1" applyBorder="1"/>
    <xf numFmtId="0" fontId="45" fillId="0" borderId="0" xfId="0" applyFont="1"/>
    <xf numFmtId="0" fontId="12" fillId="0" borderId="10" xfId="0" applyFont="1" applyBorder="1" applyAlignment="1">
      <alignment horizontal="center"/>
    </xf>
    <xf numFmtId="166" fontId="6" fillId="0" borderId="0" xfId="28" applyNumberFormat="1" applyFont="1" applyBorder="1" applyProtection="1"/>
    <xf numFmtId="170" fontId="6" fillId="0" borderId="24" xfId="0" applyNumberFormat="1" applyFont="1" applyBorder="1"/>
    <xf numFmtId="173" fontId="6" fillId="34" borderId="21" xfId="0" applyNumberFormat="1" applyFont="1" applyFill="1" applyBorder="1"/>
    <xf numFmtId="0" fontId="6" fillId="0" borderId="16" xfId="0" applyFont="1" applyBorder="1" applyAlignment="1">
      <alignment horizontal="left" indent="1"/>
    </xf>
    <xf numFmtId="173" fontId="6" fillId="0" borderId="19" xfId="0" applyNumberFormat="1" applyFont="1" applyBorder="1"/>
    <xf numFmtId="173" fontId="6" fillId="25" borderId="23" xfId="0" applyNumberFormat="1" applyFont="1" applyFill="1" applyBorder="1"/>
    <xf numFmtId="173" fontId="6" fillId="0" borderId="44" xfId="0" applyNumberFormat="1" applyFont="1" applyBorder="1"/>
    <xf numFmtId="0" fontId="7" fillId="0" borderId="40" xfId="0" applyFont="1" applyBorder="1" applyAlignment="1">
      <alignment horizontal="centerContinuous" vertical="center" wrapText="1"/>
    </xf>
    <xf numFmtId="0" fontId="7" fillId="0" borderId="59" xfId="0" applyFont="1" applyBorder="1" applyAlignment="1">
      <alignment horizontal="centerContinuous" vertical="center" wrapText="1"/>
    </xf>
    <xf numFmtId="0" fontId="6" fillId="0" borderId="17" xfId="0" applyFont="1" applyBorder="1"/>
    <xf numFmtId="0" fontId="6" fillId="0" borderId="40" xfId="0" applyFont="1" applyBorder="1"/>
    <xf numFmtId="0" fontId="6" fillId="32" borderId="10" xfId="0" applyFont="1" applyFill="1" applyBorder="1"/>
    <xf numFmtId="0" fontId="6" fillId="32" borderId="19" xfId="0" applyFont="1" applyFill="1" applyBorder="1"/>
    <xf numFmtId="173" fontId="6" fillId="32" borderId="19" xfId="0" applyNumberFormat="1" applyFont="1" applyFill="1" applyBorder="1"/>
    <xf numFmtId="0" fontId="7" fillId="0" borderId="15" xfId="0" applyFont="1" applyBorder="1" applyAlignment="1">
      <alignment horizontal="center" vertical="center" wrapText="1"/>
    </xf>
    <xf numFmtId="0" fontId="7" fillId="0" borderId="20" xfId="0" applyFont="1" applyBorder="1" applyAlignment="1">
      <alignment horizontal="centerContinuous" vertical="center" wrapText="1"/>
    </xf>
    <xf numFmtId="0" fontId="7" fillId="0" borderId="63" xfId="0" applyFont="1" applyBorder="1" applyAlignment="1">
      <alignment horizontal="center" vertical="center" wrapText="1"/>
    </xf>
    <xf numFmtId="0" fontId="9" fillId="0" borderId="15" xfId="0" applyFont="1" applyBorder="1" applyAlignment="1">
      <alignment horizontal="left" wrapText="1"/>
    </xf>
    <xf numFmtId="0" fontId="6" fillId="0" borderId="15" xfId="0" applyFont="1" applyBorder="1" applyAlignment="1">
      <alignment horizontal="left" vertical="top" wrapText="1"/>
    </xf>
    <xf numFmtId="0" fontId="6" fillId="0" borderId="40" xfId="0" applyFont="1" applyBorder="1" applyAlignment="1">
      <alignment horizontal="left" vertical="top" wrapText="1"/>
    </xf>
    <xf numFmtId="9" fontId="6" fillId="0" borderId="40" xfId="0" applyNumberFormat="1" applyFont="1" applyBorder="1" applyAlignment="1">
      <alignment horizontal="center" vertical="top"/>
    </xf>
    <xf numFmtId="9" fontId="6" fillId="0" borderId="78" xfId="0" applyNumberFormat="1" applyFont="1" applyBorder="1" applyAlignment="1">
      <alignment horizontal="center" vertical="top"/>
    </xf>
    <xf numFmtId="9" fontId="6" fillId="0" borderId="22" xfId="0" applyNumberFormat="1" applyFont="1" applyBorder="1" applyAlignment="1">
      <alignment horizontal="center" vertical="top"/>
    </xf>
    <xf numFmtId="9" fontId="6" fillId="0" borderId="46" xfId="0" applyNumberFormat="1" applyFont="1" applyBorder="1" applyAlignment="1">
      <alignment horizontal="center" vertical="top"/>
    </xf>
    <xf numFmtId="0" fontId="6" fillId="0" borderId="11" xfId="0" applyFont="1" applyBorder="1" applyAlignment="1">
      <alignment horizontal="left" vertical="top" wrapText="1" indent="1"/>
    </xf>
    <xf numFmtId="0" fontId="6" fillId="0" borderId="11" xfId="0" applyFont="1" applyBorder="1" applyAlignment="1">
      <alignment horizontal="left" vertical="top" wrapText="1"/>
    </xf>
    <xf numFmtId="0" fontId="6" fillId="0" borderId="10" xfId="0" applyFont="1" applyBorder="1" applyAlignment="1">
      <alignment horizontal="left" vertical="top" wrapText="1"/>
    </xf>
    <xf numFmtId="9" fontId="6" fillId="0" borderId="0" xfId="41" applyFont="1" applyProtection="1"/>
    <xf numFmtId="2" fontId="6" fillId="0" borderId="0" xfId="0" applyNumberFormat="1" applyFont="1"/>
    <xf numFmtId="0" fontId="9" fillId="0" borderId="11" xfId="0" applyFont="1" applyBorder="1" applyAlignment="1">
      <alignment horizontal="left" wrapText="1"/>
    </xf>
    <xf numFmtId="169" fontId="6" fillId="32" borderId="10" xfId="41" applyNumberFormat="1" applyFont="1" applyFill="1" applyBorder="1" applyAlignment="1" applyProtection="1">
      <alignment horizontal="center" vertical="top" wrapText="1"/>
    </xf>
    <xf numFmtId="169" fontId="6" fillId="32" borderId="55" xfId="41" applyNumberFormat="1" applyFont="1" applyFill="1" applyBorder="1" applyAlignment="1" applyProtection="1">
      <alignment horizontal="center" vertical="top" wrapText="1"/>
    </xf>
    <xf numFmtId="169" fontId="6" fillId="32" borderId="21" xfId="41" applyNumberFormat="1" applyFont="1" applyFill="1" applyBorder="1" applyAlignment="1" applyProtection="1">
      <alignment horizontal="center" vertical="top" wrapText="1"/>
    </xf>
    <xf numFmtId="169" fontId="6" fillId="32" borderId="37" xfId="41" applyNumberFormat="1" applyFont="1" applyFill="1" applyBorder="1" applyAlignment="1" applyProtection="1">
      <alignment horizontal="center" vertical="top" wrapText="1"/>
    </xf>
    <xf numFmtId="0" fontId="6" fillId="0" borderId="32" xfId="0" applyFont="1" applyBorder="1" applyAlignment="1">
      <alignment horizontal="left" vertical="top" wrapText="1"/>
    </xf>
    <xf numFmtId="0" fontId="6" fillId="0" borderId="10" xfId="0" applyFont="1" applyBorder="1" applyAlignment="1">
      <alignment horizontal="center" vertical="top"/>
    </xf>
    <xf numFmtId="0" fontId="9" fillId="0" borderId="11" xfId="0" applyFont="1" applyBorder="1" applyAlignment="1">
      <alignment horizontal="left" vertical="top"/>
    </xf>
    <xf numFmtId="0" fontId="9" fillId="0" borderId="11" xfId="0" applyFont="1" applyBorder="1" applyAlignment="1">
      <alignment horizontal="left" vertical="top" wrapText="1"/>
    </xf>
    <xf numFmtId="0" fontId="9" fillId="0" borderId="10" xfId="0" applyFont="1" applyBorder="1" applyAlignment="1">
      <alignment horizontal="left" vertical="top" wrapText="1"/>
    </xf>
    <xf numFmtId="0" fontId="6" fillId="0" borderId="16" xfId="0" applyFont="1" applyBorder="1" applyAlignment="1">
      <alignment horizontal="left" vertical="top" wrapText="1" indent="1"/>
    </xf>
    <xf numFmtId="0" fontId="6" fillId="0" borderId="16" xfId="0" applyFont="1" applyBorder="1" applyAlignment="1">
      <alignment horizontal="left" vertical="top" wrapText="1"/>
    </xf>
    <xf numFmtId="0" fontId="6" fillId="0" borderId="19" xfId="0" applyFont="1" applyBorder="1" applyAlignment="1">
      <alignment horizontal="left" vertical="top" wrapText="1"/>
    </xf>
    <xf numFmtId="169" fontId="6" fillId="32" borderId="19" xfId="41" applyNumberFormat="1" applyFont="1" applyFill="1" applyBorder="1" applyAlignment="1" applyProtection="1">
      <alignment horizontal="center" vertical="top" wrapText="1"/>
    </xf>
    <xf numFmtId="169" fontId="6" fillId="32" borderId="52" xfId="41" applyNumberFormat="1" applyFont="1" applyFill="1" applyBorder="1" applyAlignment="1" applyProtection="1">
      <alignment horizontal="center" vertical="top" wrapText="1"/>
    </xf>
    <xf numFmtId="169" fontId="6" fillId="32" borderId="23" xfId="41" applyNumberFormat="1" applyFont="1" applyFill="1" applyBorder="1" applyAlignment="1" applyProtection="1">
      <alignment horizontal="center" vertical="top" wrapText="1"/>
    </xf>
    <xf numFmtId="169" fontId="6" fillId="32" borderId="44" xfId="41" applyNumberFormat="1" applyFont="1" applyFill="1" applyBorder="1" applyAlignment="1" applyProtection="1">
      <alignment horizontal="center" vertical="top" wrapText="1"/>
    </xf>
    <xf numFmtId="169" fontId="6" fillId="0" borderId="0" xfId="41" applyNumberFormat="1" applyFont="1" applyFill="1" applyBorder="1" applyAlignment="1" applyProtection="1">
      <alignment horizontal="center" vertical="top" wrapText="1"/>
    </xf>
    <xf numFmtId="0" fontId="12" fillId="0" borderId="15" xfId="0" applyFont="1" applyBorder="1"/>
    <xf numFmtId="170" fontId="6" fillId="32" borderId="0" xfId="0" applyNumberFormat="1" applyFont="1" applyFill="1"/>
    <xf numFmtId="170" fontId="6" fillId="32" borderId="13" xfId="0" applyNumberFormat="1" applyFont="1" applyFill="1" applyBorder="1"/>
    <xf numFmtId="170" fontId="6" fillId="0" borderId="0" xfId="28" applyNumberFormat="1" applyFont="1" applyBorder="1" applyProtection="1"/>
    <xf numFmtId="170" fontId="6" fillId="0" borderId="0" xfId="28" applyNumberFormat="1" applyFont="1" applyFill="1" applyBorder="1" applyProtection="1"/>
    <xf numFmtId="170" fontId="6" fillId="0" borderId="13" xfId="28" applyNumberFormat="1" applyFont="1" applyFill="1" applyBorder="1" applyProtection="1"/>
    <xf numFmtId="170" fontId="6" fillId="32" borderId="0" xfId="28" applyNumberFormat="1" applyFont="1" applyFill="1" applyBorder="1" applyProtection="1"/>
    <xf numFmtId="170" fontId="6" fillId="32" borderId="13" xfId="28" applyNumberFormat="1" applyFont="1" applyFill="1" applyBorder="1" applyProtection="1"/>
    <xf numFmtId="0" fontId="6" fillId="0" borderId="14" xfId="0" applyFont="1" applyBorder="1"/>
    <xf numFmtId="170" fontId="6" fillId="32" borderId="14" xfId="28" applyNumberFormat="1" applyFont="1" applyFill="1" applyBorder="1" applyProtection="1"/>
    <xf numFmtId="170" fontId="6" fillId="32" borderId="14" xfId="0" applyNumberFormat="1" applyFont="1" applyFill="1" applyBorder="1"/>
    <xf numFmtId="170" fontId="6" fillId="32" borderId="17" xfId="0" applyNumberFormat="1" applyFont="1" applyFill="1" applyBorder="1"/>
    <xf numFmtId="0" fontId="5" fillId="0" borderId="0" xfId="0" applyFont="1" applyAlignment="1">
      <alignment horizontal="left"/>
    </xf>
    <xf numFmtId="0" fontId="7" fillId="0" borderId="40" xfId="0" applyFont="1" applyBorder="1" applyAlignment="1">
      <alignment vertical="center" wrapText="1"/>
    </xf>
    <xf numFmtId="0" fontId="7" fillId="0" borderId="0" xfId="0" applyFont="1" applyAlignment="1">
      <alignment wrapText="1"/>
    </xf>
    <xf numFmtId="0" fontId="7" fillId="0" borderId="19" xfId="0" applyFont="1" applyBorder="1" applyAlignment="1">
      <alignment horizontal="left"/>
    </xf>
    <xf numFmtId="0" fontId="7" fillId="0" borderId="19"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33" xfId="0" applyFont="1" applyBorder="1" applyAlignment="1">
      <alignment vertical="center" wrapText="1"/>
    </xf>
    <xf numFmtId="0" fontId="7" fillId="0" borderId="11" xfId="0" applyFont="1" applyBorder="1" applyAlignment="1">
      <alignment vertical="center" wrapText="1"/>
    </xf>
    <xf numFmtId="0" fontId="6" fillId="0" borderId="32" xfId="0" applyFont="1" applyBorder="1"/>
    <xf numFmtId="0" fontId="6" fillId="0" borderId="13" xfId="0" applyFont="1" applyBorder="1"/>
    <xf numFmtId="173" fontId="6" fillId="0" borderId="11" xfId="0" applyNumberFormat="1" applyFont="1" applyBorder="1"/>
    <xf numFmtId="0" fontId="7" fillId="0" borderId="33" xfId="0" applyFont="1" applyBorder="1" applyAlignment="1">
      <alignment horizontal="center"/>
    </xf>
    <xf numFmtId="173" fontId="7" fillId="0" borderId="79" xfId="0" applyNumberFormat="1" applyFont="1" applyBorder="1"/>
    <xf numFmtId="173" fontId="7" fillId="0" borderId="11" xfId="0" applyNumberFormat="1" applyFont="1" applyBorder="1"/>
    <xf numFmtId="0" fontId="7" fillId="0" borderId="65" xfId="0" applyFont="1" applyBorder="1" applyAlignment="1">
      <alignment horizontal="center"/>
    </xf>
    <xf numFmtId="12" fontId="6" fillId="32" borderId="80" xfId="0" applyNumberFormat="1" applyFont="1" applyFill="1" applyBorder="1"/>
    <xf numFmtId="12" fontId="6" fillId="32" borderId="81" xfId="0" applyNumberFormat="1" applyFont="1" applyFill="1" applyBorder="1"/>
    <xf numFmtId="12" fontId="6" fillId="32" borderId="82" xfId="0" applyNumberFormat="1" applyFont="1" applyFill="1" applyBorder="1"/>
    <xf numFmtId="173" fontId="6" fillId="0" borderId="65" xfId="0" applyNumberFormat="1" applyFont="1" applyBorder="1"/>
    <xf numFmtId="173" fontId="7" fillId="0" borderId="18" xfId="0" applyNumberFormat="1" applyFont="1" applyBorder="1"/>
    <xf numFmtId="12" fontId="6" fillId="32" borderId="18" xfId="0" applyNumberFormat="1" applyFont="1" applyFill="1" applyBorder="1"/>
    <xf numFmtId="173" fontId="6" fillId="0" borderId="40" xfId="0" applyNumberFormat="1" applyFont="1" applyBorder="1"/>
    <xf numFmtId="0" fontId="37" fillId="0" borderId="0" xfId="0" applyFont="1" applyAlignment="1">
      <alignment horizontal="center"/>
    </xf>
    <xf numFmtId="0" fontId="7" fillId="0" borderId="83" xfId="0" applyFont="1" applyBorder="1" applyAlignment="1">
      <alignment horizontal="centerContinuous" vertical="center" wrapText="1"/>
    </xf>
    <xf numFmtId="0" fontId="6" fillId="0" borderId="55" xfId="0" applyFont="1" applyBorder="1"/>
    <xf numFmtId="0" fontId="7" fillId="0" borderId="72" xfId="0" applyFont="1" applyBorder="1" applyAlignment="1">
      <alignment horizontal="center" vertical="center" wrapText="1"/>
    </xf>
    <xf numFmtId="0" fontId="7" fillId="0" borderId="23" xfId="0" applyFont="1" applyBorder="1" applyAlignment="1">
      <alignment horizontal="center" vertical="top" wrapText="1"/>
    </xf>
    <xf numFmtId="0" fontId="7" fillId="0" borderId="71" xfId="0" applyFont="1" applyBorder="1" applyAlignment="1">
      <alignment horizontal="center" vertical="center" wrapText="1"/>
    </xf>
    <xf numFmtId="0" fontId="6" fillId="32" borderId="11" xfId="0" applyFont="1" applyFill="1" applyBorder="1"/>
    <xf numFmtId="0" fontId="6" fillId="32" borderId="21" xfId="0" applyFont="1" applyFill="1" applyBorder="1" applyAlignment="1">
      <alignment horizontal="center"/>
    </xf>
    <xf numFmtId="0" fontId="6" fillId="32" borderId="32" xfId="0" applyFont="1" applyFill="1" applyBorder="1" applyAlignment="1">
      <alignment horizontal="center"/>
    </xf>
    <xf numFmtId="176" fontId="6" fillId="32" borderId="37" xfId="0" applyNumberFormat="1" applyFont="1" applyFill="1" applyBorder="1" applyAlignment="1">
      <alignment horizontal="center"/>
    </xf>
    <xf numFmtId="0" fontId="6" fillId="0" borderId="42" xfId="0" applyFont="1" applyBorder="1" applyAlignment="1">
      <alignment horizontal="center"/>
    </xf>
    <xf numFmtId="0" fontId="6" fillId="0" borderId="62" xfId="0" applyFont="1" applyBorder="1" applyAlignment="1">
      <alignment horizontal="center"/>
    </xf>
    <xf numFmtId="176" fontId="6" fillId="0" borderId="39" xfId="0" applyNumberFormat="1" applyFont="1" applyBorder="1" applyAlignment="1">
      <alignment horizontal="center"/>
    </xf>
    <xf numFmtId="0" fontId="6" fillId="0" borderId="32" xfId="0" applyFont="1" applyBorder="1" applyAlignment="1">
      <alignment horizontal="center"/>
    </xf>
    <xf numFmtId="176" fontId="6" fillId="0" borderId="37" xfId="0" applyNumberFormat="1" applyFont="1" applyBorder="1" applyAlignment="1">
      <alignment horizontal="center"/>
    </xf>
    <xf numFmtId="0" fontId="6" fillId="32" borderId="11" xfId="0" applyFont="1" applyFill="1" applyBorder="1" applyAlignment="1">
      <alignment horizontal="left" indent="1"/>
    </xf>
    <xf numFmtId="0" fontId="6" fillId="0" borderId="71" xfId="0" applyFont="1" applyBorder="1" applyAlignment="1">
      <alignment horizontal="center"/>
    </xf>
    <xf numFmtId="176" fontId="6" fillId="0" borderId="44" xfId="0" applyNumberFormat="1" applyFont="1" applyBorder="1" applyAlignment="1">
      <alignment horizontal="center"/>
    </xf>
    <xf numFmtId="0" fontId="7" fillId="0" borderId="60" xfId="0" applyFont="1" applyBorder="1" applyAlignment="1">
      <alignment horizontal="left" vertical="center"/>
    </xf>
    <xf numFmtId="0" fontId="6" fillId="0" borderId="53" xfId="0" applyFont="1" applyBorder="1" applyAlignment="1">
      <alignment horizontal="center" vertical="center"/>
    </xf>
    <xf numFmtId="0" fontId="6" fillId="0" borderId="64" xfId="0" applyFont="1" applyBorder="1"/>
    <xf numFmtId="0" fontId="6" fillId="0" borderId="31" xfId="0" applyFont="1" applyBorder="1"/>
    <xf numFmtId="0" fontId="6" fillId="0" borderId="31" xfId="0" applyFont="1" applyBorder="1" applyAlignment="1">
      <alignment horizontal="center" vertical="center"/>
    </xf>
    <xf numFmtId="9" fontId="7" fillId="0" borderId="31" xfId="41" applyFont="1" applyFill="1" applyBorder="1" applyAlignment="1" applyProtection="1">
      <alignment horizontal="center" vertical="center"/>
    </xf>
    <xf numFmtId="0" fontId="6" fillId="0" borderId="41" xfId="0" applyFont="1" applyBorder="1" applyAlignment="1">
      <alignment horizontal="center" vertical="center"/>
    </xf>
    <xf numFmtId="170" fontId="7" fillId="0" borderId="24" xfId="0" applyNumberFormat="1" applyFont="1" applyBorder="1"/>
    <xf numFmtId="170" fontId="7" fillId="0" borderId="21" xfId="0" applyNumberFormat="1" applyFont="1" applyBorder="1"/>
    <xf numFmtId="170" fontId="7" fillId="0" borderId="37" xfId="0" applyNumberFormat="1" applyFont="1" applyBorder="1"/>
    <xf numFmtId="169" fontId="7" fillId="0" borderId="21" xfId="41" applyNumberFormat="1" applyFont="1" applyFill="1" applyBorder="1" applyAlignment="1" applyProtection="1">
      <alignment horizontal="center" wrapText="1"/>
    </xf>
    <xf numFmtId="0" fontId="6" fillId="32" borderId="11" xfId="0" applyFont="1" applyFill="1" applyBorder="1" applyAlignment="1">
      <alignment horizontal="left" indent="2"/>
    </xf>
    <xf numFmtId="173" fontId="6" fillId="32" borderId="42" xfId="0" applyNumberFormat="1" applyFont="1" applyFill="1" applyBorder="1"/>
    <xf numFmtId="173" fontId="6" fillId="32" borderId="35" xfId="0" applyNumberFormat="1" applyFont="1" applyFill="1" applyBorder="1"/>
    <xf numFmtId="169" fontId="6" fillId="0" borderId="35" xfId="41" applyNumberFormat="1" applyFont="1" applyFill="1" applyBorder="1" applyAlignment="1" applyProtection="1">
      <alignment horizontal="center" vertical="top" wrapText="1"/>
    </xf>
    <xf numFmtId="169" fontId="7" fillId="0" borderId="35" xfId="41" applyNumberFormat="1" applyFont="1" applyFill="1" applyBorder="1" applyAlignment="1" applyProtection="1">
      <alignment horizontal="center" vertical="top" wrapText="1"/>
    </xf>
    <xf numFmtId="0" fontId="10" fillId="32" borderId="11" xfId="0" applyFont="1" applyFill="1" applyBorder="1" applyAlignment="1">
      <alignment horizontal="left" indent="2"/>
    </xf>
    <xf numFmtId="173" fontId="7" fillId="32" borderId="42" xfId="0" applyNumberFormat="1" applyFont="1" applyFill="1" applyBorder="1"/>
    <xf numFmtId="173" fontId="7" fillId="32" borderId="35" xfId="0" applyNumberFormat="1" applyFont="1" applyFill="1" applyBorder="1"/>
    <xf numFmtId="0" fontId="6" fillId="32" borderId="0" xfId="0" applyFont="1" applyFill="1"/>
    <xf numFmtId="173" fontId="7" fillId="32" borderId="24" xfId="0" applyNumberFormat="1" applyFont="1" applyFill="1" applyBorder="1"/>
    <xf numFmtId="173" fontId="7" fillId="32" borderId="21" xfId="0" applyNumberFormat="1" applyFont="1" applyFill="1" applyBorder="1"/>
    <xf numFmtId="0" fontId="7" fillId="0" borderId="30" xfId="0" applyFont="1" applyBorder="1" applyAlignment="1">
      <alignment vertical="center"/>
    </xf>
    <xf numFmtId="0" fontId="7" fillId="0" borderId="11" xfId="0" quotePrefix="1" applyFont="1" applyBorder="1" applyAlignment="1">
      <alignment horizontal="left" indent="1"/>
    </xf>
    <xf numFmtId="0" fontId="6" fillId="0" borderId="63" xfId="0" applyFont="1" applyBorder="1" applyAlignment="1">
      <alignment horizontal="center"/>
    </xf>
    <xf numFmtId="0" fontId="6" fillId="0" borderId="60" xfId="0" applyFont="1" applyBorder="1"/>
    <xf numFmtId="169" fontId="6" fillId="0" borderId="31" xfId="41" applyNumberFormat="1" applyFont="1" applyFill="1" applyBorder="1" applyAlignment="1" applyProtection="1">
      <alignment horizontal="center" vertical="top" wrapText="1"/>
    </xf>
    <xf numFmtId="0" fontId="7" fillId="0" borderId="25" xfId="0" applyFont="1" applyBorder="1" applyAlignment="1">
      <alignment vertical="center"/>
    </xf>
    <xf numFmtId="165" fontId="6" fillId="0" borderId="0" xfId="28" applyFont="1" applyBorder="1" applyProtection="1"/>
    <xf numFmtId="0" fontId="6" fillId="0" borderId="0" xfId="0" applyFont="1" applyAlignment="1">
      <alignment horizontal="left"/>
    </xf>
    <xf numFmtId="0" fontId="6" fillId="0" borderId="66" xfId="0" applyFont="1" applyBorder="1"/>
    <xf numFmtId="0" fontId="9" fillId="0" borderId="77" xfId="0" applyFont="1" applyBorder="1"/>
    <xf numFmtId="0" fontId="6" fillId="0" borderId="11" xfId="0" quotePrefix="1" applyFont="1" applyBorder="1" applyAlignment="1">
      <alignment horizontal="left" indent="2"/>
    </xf>
    <xf numFmtId="0" fontId="10" fillId="0" borderId="11" xfId="0" quotePrefix="1" applyFont="1" applyBorder="1" applyAlignment="1">
      <alignment horizontal="left" indent="2"/>
    </xf>
    <xf numFmtId="0" fontId="7" fillId="0" borderId="33" xfId="0" applyFont="1" applyBorder="1" applyAlignment="1">
      <alignment horizontal="left"/>
    </xf>
    <xf numFmtId="169" fontId="7" fillId="0" borderId="26" xfId="41" applyNumberFormat="1" applyFont="1" applyFill="1" applyBorder="1" applyAlignment="1" applyProtection="1">
      <alignment horizontal="center" vertical="top" wrapText="1"/>
    </xf>
    <xf numFmtId="9" fontId="7" fillId="0" borderId="39" xfId="41" applyFont="1" applyFill="1" applyBorder="1" applyAlignment="1" applyProtection="1">
      <alignment horizontal="center" vertical="center" wrapText="1"/>
    </xf>
    <xf numFmtId="2" fontId="6" fillId="0" borderId="31" xfId="0" applyNumberFormat="1" applyFont="1" applyBorder="1"/>
    <xf numFmtId="9" fontId="7" fillId="0" borderId="41" xfId="41" applyFont="1" applyFill="1" applyBorder="1" applyAlignment="1" applyProtection="1">
      <alignment horizontal="center" vertical="center"/>
    </xf>
    <xf numFmtId="169" fontId="7" fillId="0" borderId="37" xfId="41" applyNumberFormat="1" applyFont="1" applyFill="1" applyBorder="1" applyAlignment="1" applyProtection="1">
      <alignment horizontal="center" wrapText="1"/>
    </xf>
    <xf numFmtId="169" fontId="6" fillId="0" borderId="39" xfId="41" applyNumberFormat="1" applyFont="1" applyFill="1" applyBorder="1" applyAlignment="1" applyProtection="1">
      <alignment horizontal="center" vertical="top" wrapText="1"/>
    </xf>
    <xf numFmtId="169" fontId="7" fillId="0" borderId="39" xfId="41" applyNumberFormat="1" applyFont="1" applyFill="1" applyBorder="1" applyAlignment="1" applyProtection="1">
      <alignment horizontal="center" vertical="top" wrapText="1"/>
    </xf>
    <xf numFmtId="169" fontId="7" fillId="0" borderId="38" xfId="41" applyNumberFormat="1" applyFont="1" applyFill="1" applyBorder="1" applyAlignment="1" applyProtection="1">
      <alignment horizontal="center" vertical="top" wrapText="1"/>
    </xf>
    <xf numFmtId="169" fontId="7" fillId="0" borderId="50" xfId="41" applyNumberFormat="1" applyFont="1" applyFill="1" applyBorder="1" applyAlignment="1" applyProtection="1">
      <alignment horizontal="center" vertical="top" wrapText="1"/>
    </xf>
    <xf numFmtId="0" fontId="9" fillId="0" borderId="25" xfId="0" applyFont="1" applyBorder="1"/>
    <xf numFmtId="170" fontId="6" fillId="0" borderId="33" xfId="0" quotePrefix="1" applyNumberFormat="1" applyFont="1" applyBorder="1" applyAlignment="1">
      <alignment horizontal="center"/>
    </xf>
    <xf numFmtId="170" fontId="6" fillId="0" borderId="27" xfId="0" quotePrefix="1" applyNumberFormat="1" applyFont="1" applyBorder="1" applyAlignment="1">
      <alignment horizontal="center"/>
    </xf>
    <xf numFmtId="170" fontId="6" fillId="0" borderId="26" xfId="0" quotePrefix="1" applyNumberFormat="1" applyFont="1" applyBorder="1" applyAlignment="1">
      <alignment horizontal="center"/>
    </xf>
    <xf numFmtId="170" fontId="6" fillId="0" borderId="26" xfId="0" applyNumberFormat="1" applyFont="1" applyBorder="1" applyAlignment="1">
      <alignment horizontal="center"/>
    </xf>
    <xf numFmtId="170" fontId="6" fillId="0" borderId="50" xfId="0" quotePrefix="1" applyNumberFormat="1" applyFont="1" applyBorder="1" applyAlignment="1">
      <alignment horizontal="center"/>
    </xf>
    <xf numFmtId="0" fontId="9" fillId="0" borderId="11" xfId="0" applyFont="1" applyBorder="1" applyAlignment="1">
      <alignment horizontal="left"/>
    </xf>
    <xf numFmtId="9" fontId="7" fillId="0" borderId="35" xfId="41" applyFont="1" applyBorder="1" applyAlignment="1" applyProtection="1">
      <alignment horizontal="center"/>
    </xf>
    <xf numFmtId="9" fontId="7" fillId="0" borderId="10" xfId="41" applyFont="1" applyBorder="1" applyAlignment="1" applyProtection="1">
      <alignment horizontal="center"/>
    </xf>
    <xf numFmtId="169" fontId="7" fillId="0" borderId="21" xfId="41" applyNumberFormat="1" applyFont="1" applyFill="1" applyBorder="1" applyAlignment="1" applyProtection="1">
      <alignment horizontal="center" vertical="top" wrapText="1"/>
    </xf>
    <xf numFmtId="169" fontId="7" fillId="0" borderId="37" xfId="41" applyNumberFormat="1" applyFont="1" applyFill="1" applyBorder="1" applyAlignment="1" applyProtection="1">
      <alignment horizontal="center" vertical="top" wrapText="1"/>
    </xf>
    <xf numFmtId="9" fontId="7" fillId="25" borderId="10" xfId="41" applyFont="1" applyFill="1" applyBorder="1" applyAlignment="1" applyProtection="1">
      <alignment horizontal="center"/>
    </xf>
    <xf numFmtId="169" fontId="7" fillId="25" borderId="21" xfId="41" applyNumberFormat="1" applyFont="1" applyFill="1" applyBorder="1" applyAlignment="1" applyProtection="1">
      <alignment horizontal="center" vertical="top" wrapText="1"/>
    </xf>
    <xf numFmtId="9" fontId="7" fillId="25" borderId="21" xfId="41" applyFont="1" applyFill="1" applyBorder="1" applyAlignment="1" applyProtection="1">
      <alignment horizontal="center" vertical="top" wrapText="1"/>
    </xf>
    <xf numFmtId="9" fontId="7" fillId="0" borderId="53" xfId="41" applyFont="1" applyBorder="1" applyAlignment="1" applyProtection="1">
      <alignment horizontal="center"/>
    </xf>
    <xf numFmtId="9" fontId="7" fillId="0" borderId="64" xfId="41" applyFont="1" applyBorder="1" applyAlignment="1" applyProtection="1">
      <alignment horizontal="center"/>
    </xf>
    <xf numFmtId="9" fontId="7" fillId="0" borderId="31" xfId="41" applyFont="1" applyBorder="1" applyAlignment="1" applyProtection="1">
      <alignment horizontal="center"/>
    </xf>
    <xf numFmtId="0" fontId="7" fillId="0" borderId="25" xfId="0" applyFont="1" applyBorder="1" applyAlignment="1">
      <alignment vertical="center" wrapText="1"/>
    </xf>
    <xf numFmtId="9" fontId="7" fillId="0" borderId="26" xfId="41" applyFont="1" applyBorder="1" applyAlignment="1" applyProtection="1">
      <alignment horizontal="center"/>
    </xf>
    <xf numFmtId="9" fontId="7" fillId="0" borderId="26" xfId="0" applyNumberFormat="1" applyFont="1" applyBorder="1"/>
    <xf numFmtId="0" fontId="7" fillId="0" borderId="55" xfId="0" applyFont="1" applyBorder="1" applyAlignment="1">
      <alignment horizontal="center" vertical="center" wrapText="1"/>
    </xf>
    <xf numFmtId="0" fontId="7" fillId="0" borderId="32" xfId="0" applyFont="1" applyBorder="1" applyAlignment="1">
      <alignment horizontal="center" vertical="center" wrapText="1"/>
    </xf>
    <xf numFmtId="0" fontId="7" fillId="32" borderId="66" xfId="0" applyFont="1" applyFill="1" applyBorder="1" applyAlignment="1">
      <alignment horizontal="center" vertical="center"/>
    </xf>
    <xf numFmtId="0" fontId="7" fillId="32" borderId="31" xfId="0" applyFont="1" applyFill="1" applyBorder="1" applyAlignment="1">
      <alignment horizontal="center" vertical="center"/>
    </xf>
    <xf numFmtId="0" fontId="7" fillId="32" borderId="67" xfId="0" applyFont="1" applyFill="1" applyBorder="1" applyAlignment="1">
      <alignment horizontal="center" vertical="center"/>
    </xf>
    <xf numFmtId="0" fontId="7" fillId="0" borderId="32" xfId="0" applyFont="1" applyBorder="1" applyAlignment="1">
      <alignment horizontal="center"/>
    </xf>
    <xf numFmtId="170" fontId="6" fillId="0" borderId="10" xfId="0" applyNumberFormat="1" applyFont="1" applyBorder="1" applyAlignment="1">
      <alignment horizontal="left" vertical="top" wrapText="1" indent="1"/>
    </xf>
    <xf numFmtId="170" fontId="7" fillId="0" borderId="49" xfId="0" applyNumberFormat="1" applyFont="1" applyBorder="1"/>
    <xf numFmtId="173" fontId="7" fillId="0" borderId="84" xfId="0" applyNumberFormat="1" applyFont="1" applyBorder="1"/>
    <xf numFmtId="170" fontId="6" fillId="0" borderId="19" xfId="0" applyNumberFormat="1" applyFont="1" applyBorder="1"/>
    <xf numFmtId="173" fontId="6" fillId="0" borderId="52" xfId="0" applyNumberFormat="1" applyFont="1" applyBorder="1"/>
    <xf numFmtId="0" fontId="7" fillId="0" borderId="53" xfId="0" applyFont="1" applyBorder="1" applyAlignment="1">
      <alignment horizontal="center"/>
    </xf>
    <xf numFmtId="0" fontId="7" fillId="0" borderId="77" xfId="0" applyFont="1" applyBorder="1" applyAlignment="1">
      <alignment wrapText="1"/>
    </xf>
    <xf numFmtId="173" fontId="6" fillId="0" borderId="63" xfId="0" applyNumberFormat="1" applyFont="1" applyBorder="1"/>
    <xf numFmtId="173" fontId="6" fillId="0" borderId="42" xfId="0" applyNumberFormat="1" applyFont="1" applyBorder="1"/>
    <xf numFmtId="9" fontId="7" fillId="0" borderId="0" xfId="41" applyFont="1" applyBorder="1" applyAlignment="1" applyProtection="1">
      <alignment horizontal="center"/>
    </xf>
    <xf numFmtId="0" fontId="10" fillId="32" borderId="11" xfId="0" applyFont="1" applyFill="1" applyBorder="1"/>
    <xf numFmtId="0" fontId="10" fillId="0" borderId="11" xfId="0" quotePrefix="1" applyFont="1" applyBorder="1" applyAlignment="1">
      <alignment horizontal="left"/>
    </xf>
    <xf numFmtId="173" fontId="6" fillId="0" borderId="37" xfId="0" applyNumberFormat="1" applyFont="1" applyBorder="1" applyAlignment="1">
      <alignment horizontal="center"/>
    </xf>
    <xf numFmtId="0" fontId="6" fillId="0" borderId="60" xfId="0" applyFont="1" applyBorder="1" applyAlignment="1">
      <alignment horizontal="left" indent="1"/>
    </xf>
    <xf numFmtId="173" fontId="6" fillId="0" borderId="41" xfId="0" applyNumberFormat="1" applyFont="1" applyBorder="1" applyAlignment="1">
      <alignment horizontal="center"/>
    </xf>
    <xf numFmtId="169" fontId="7" fillId="25" borderId="23" xfId="41" applyNumberFormat="1" applyFont="1" applyFill="1" applyBorder="1" applyAlignment="1" applyProtection="1">
      <alignment horizontal="center" vertical="top" wrapText="1"/>
    </xf>
    <xf numFmtId="169" fontId="7" fillId="0" borderId="31" xfId="41" applyNumberFormat="1" applyFont="1" applyFill="1" applyBorder="1" applyAlignment="1" applyProtection="1">
      <alignment horizontal="center" vertical="top" wrapText="1"/>
    </xf>
    <xf numFmtId="0" fontId="10" fillId="0" borderId="11" xfId="0" applyFont="1" applyBorder="1" applyAlignment="1">
      <alignment horizontal="left" indent="2"/>
    </xf>
    <xf numFmtId="173" fontId="7" fillId="0" borderId="66" xfId="0" applyNumberFormat="1" applyFont="1" applyBorder="1"/>
    <xf numFmtId="173" fontId="6" fillId="0" borderId="66" xfId="0" applyNumberFormat="1" applyFont="1" applyBorder="1"/>
    <xf numFmtId="169" fontId="7" fillId="0" borderId="0" xfId="41" applyNumberFormat="1" applyFont="1" applyFill="1" applyBorder="1" applyAlignment="1" applyProtection="1">
      <alignment horizontal="center" vertical="top" wrapText="1"/>
    </xf>
    <xf numFmtId="166" fontId="6" fillId="0" borderId="0" xfId="28" applyNumberFormat="1" applyFont="1" applyFill="1" applyBorder="1" applyProtection="1"/>
    <xf numFmtId="0" fontId="46" fillId="0" borderId="10" xfId="0" applyFont="1" applyBorder="1" applyAlignment="1">
      <alignment horizontal="left" indent="1"/>
    </xf>
    <xf numFmtId="0" fontId="47" fillId="0" borderId="11" xfId="0" applyFont="1" applyBorder="1" applyAlignment="1">
      <alignment horizontal="left" indent="1"/>
    </xf>
    <xf numFmtId="0" fontId="46" fillId="0" borderId="11" xfId="0" applyFont="1" applyBorder="1" applyAlignment="1">
      <alignment horizontal="left" indent="1"/>
    </xf>
    <xf numFmtId="0" fontId="48" fillId="0" borderId="11" xfId="0" applyFont="1" applyBorder="1" applyAlignment="1">
      <alignment horizontal="left" indent="1"/>
    </xf>
    <xf numFmtId="0" fontId="6" fillId="0" borderId="11" xfId="0" applyFont="1" applyBorder="1" applyAlignment="1">
      <alignment horizontal="left"/>
    </xf>
    <xf numFmtId="0" fontId="49" fillId="0" borderId="11" xfId="0" applyFont="1" applyBorder="1"/>
    <xf numFmtId="0" fontId="50" fillId="0" borderId="11" xfId="0" applyFont="1" applyBorder="1" applyAlignment="1">
      <alignment horizontal="left" indent="2"/>
    </xf>
    <xf numFmtId="0" fontId="1" fillId="0" borderId="0" xfId="46"/>
    <xf numFmtId="0" fontId="6" fillId="0" borderId="11" xfId="0" applyFont="1" applyBorder="1" applyAlignment="1">
      <alignment horizontal="left" wrapText="1" indent="2"/>
    </xf>
    <xf numFmtId="0" fontId="7" fillId="0" borderId="34" xfId="0" applyFont="1" applyBorder="1" applyAlignment="1">
      <alignment horizontal="left" vertical="center" wrapText="1"/>
    </xf>
    <xf numFmtId="0" fontId="35" fillId="32" borderId="0" xfId="0" applyFont="1" applyFill="1" applyAlignment="1">
      <alignment horizontal="left" indent="1"/>
    </xf>
    <xf numFmtId="0" fontId="38" fillId="32" borderId="65" xfId="0" applyFont="1" applyFill="1" applyBorder="1"/>
    <xf numFmtId="0" fontId="41" fillId="33" borderId="11" xfId="0" applyFont="1" applyFill="1" applyBorder="1" applyAlignment="1">
      <alignment horizontal="left" indent="1"/>
    </xf>
    <xf numFmtId="0" fontId="52" fillId="0" borderId="0" xfId="72" quotePrefix="1"/>
    <xf numFmtId="0" fontId="52" fillId="0" borderId="0" xfId="73" quotePrefix="1"/>
    <xf numFmtId="0" fontId="52" fillId="0" borderId="0" xfId="74" quotePrefix="1"/>
    <xf numFmtId="0" fontId="7" fillId="0" borderId="40" xfId="0" applyFont="1" applyBorder="1" applyAlignment="1">
      <alignment vertical="center"/>
    </xf>
    <xf numFmtId="0" fontId="53" fillId="0" borderId="86" xfId="0" applyFont="1" applyBorder="1" applyAlignment="1">
      <alignment horizontal="center" vertical="center"/>
    </xf>
    <xf numFmtId="0" fontId="7" fillId="35" borderId="31" xfId="0" applyFont="1" applyFill="1" applyBorder="1" applyAlignment="1" applyProtection="1">
      <alignment horizontal="center" vertical="center"/>
      <protection locked="0"/>
    </xf>
    <xf numFmtId="0" fontId="0" fillId="0" borderId="0" xfId="0" quotePrefix="1"/>
    <xf numFmtId="0" fontId="53" fillId="0" borderId="87" xfId="0" applyFont="1" applyBorder="1" applyAlignment="1">
      <alignment vertical="center" wrapText="1"/>
    </xf>
    <xf numFmtId="0" fontId="53" fillId="0" borderId="88" xfId="0" applyFont="1" applyBorder="1" applyAlignment="1">
      <alignment vertical="center" wrapText="1"/>
    </xf>
    <xf numFmtId="0" fontId="54" fillId="0" borderId="0" xfId="0" applyFont="1" applyAlignment="1">
      <alignment horizontal="left"/>
    </xf>
    <xf numFmtId="0" fontId="53" fillId="0" borderId="89" xfId="0" applyFont="1" applyBorder="1" applyAlignment="1">
      <alignment vertical="center"/>
    </xf>
    <xf numFmtId="0" fontId="51" fillId="0" borderId="0" xfId="0" applyFont="1"/>
    <xf numFmtId="37" fontId="0" fillId="0" borderId="0" xfId="0" applyNumberFormat="1"/>
    <xf numFmtId="37" fontId="52" fillId="0" borderId="0" xfId="48" applyNumberFormat="1"/>
    <xf numFmtId="177" fontId="52" fillId="0" borderId="0" xfId="72" quotePrefix="1" applyNumberFormat="1"/>
    <xf numFmtId="178" fontId="52" fillId="0" borderId="0" xfId="72" quotePrefix="1" applyNumberFormat="1"/>
    <xf numFmtId="179" fontId="52" fillId="0" borderId="0" xfId="73" quotePrefix="1" applyNumberFormat="1"/>
    <xf numFmtId="180" fontId="52" fillId="0" borderId="0" xfId="74" quotePrefix="1" applyNumberFormat="1"/>
    <xf numFmtId="178" fontId="52" fillId="0" borderId="0" xfId="73" quotePrefix="1" applyNumberFormat="1"/>
    <xf numFmtId="178" fontId="52" fillId="0" borderId="0" xfId="74" quotePrefix="1" applyNumberFormat="1"/>
    <xf numFmtId="181" fontId="52" fillId="0" borderId="0" xfId="73" quotePrefix="1" applyNumberFormat="1"/>
    <xf numFmtId="181" fontId="52" fillId="0" borderId="0" xfId="74" quotePrefix="1" applyNumberFormat="1"/>
    <xf numFmtId="182" fontId="52" fillId="0" borderId="0" xfId="74" quotePrefix="1" applyNumberFormat="1"/>
    <xf numFmtId="183" fontId="52" fillId="0" borderId="0" xfId="73" quotePrefix="1" applyNumberFormat="1"/>
    <xf numFmtId="181" fontId="0" fillId="0" borderId="0" xfId="0" quotePrefix="1" applyNumberFormat="1"/>
    <xf numFmtId="183" fontId="0" fillId="0" borderId="0" xfId="0" quotePrefix="1" applyNumberFormat="1"/>
    <xf numFmtId="39" fontId="52" fillId="0" borderId="0" xfId="48" applyNumberFormat="1"/>
    <xf numFmtId="184" fontId="52" fillId="0" borderId="0" xfId="74" quotePrefix="1" applyNumberFormat="1"/>
    <xf numFmtId="185" fontId="52" fillId="0" borderId="0" xfId="75" quotePrefix="1" applyNumberFormat="1"/>
    <xf numFmtId="183" fontId="52" fillId="0" borderId="0" xfId="74" quotePrefix="1" applyNumberFormat="1"/>
    <xf numFmtId="182" fontId="52" fillId="0" borderId="0" xfId="75" quotePrefix="1" applyNumberFormat="1"/>
    <xf numFmtId="183" fontId="52" fillId="0" borderId="0" xfId="75" quotePrefix="1" applyNumberFormat="1"/>
    <xf numFmtId="186" fontId="52" fillId="0" borderId="0" xfId="73" quotePrefix="1" applyNumberFormat="1"/>
    <xf numFmtId="181" fontId="1" fillId="0" borderId="0" xfId="73" quotePrefix="1" applyNumberFormat="1" applyFont="1"/>
    <xf numFmtId="187" fontId="6" fillId="32" borderId="21" xfId="0" applyNumberFormat="1" applyFont="1" applyFill="1" applyBorder="1" applyProtection="1">
      <protection locked="0"/>
    </xf>
    <xf numFmtId="0" fontId="52" fillId="0" borderId="0" xfId="47" quotePrefix="1"/>
    <xf numFmtId="0" fontId="52" fillId="0" borderId="0" xfId="70" quotePrefix="1"/>
    <xf numFmtId="0" fontId="52" fillId="0" borderId="0" xfId="70" quotePrefix="1" applyAlignment="1">
      <alignment horizontal="right"/>
    </xf>
    <xf numFmtId="0" fontId="52" fillId="0" borderId="0" xfId="48" quotePrefix="1" applyAlignment="1">
      <alignment horizontal="right"/>
    </xf>
    <xf numFmtId="39" fontId="0" fillId="0" borderId="0" xfId="0" applyNumberFormat="1"/>
    <xf numFmtId="0" fontId="0" fillId="0" borderId="0" xfId="0" quotePrefix="1" applyAlignment="1">
      <alignment horizontal="right"/>
    </xf>
    <xf numFmtId="178" fontId="0" fillId="0" borderId="0" xfId="0" quotePrefix="1" applyNumberFormat="1"/>
    <xf numFmtId="186" fontId="0" fillId="0" borderId="0" xfId="0" quotePrefix="1" applyNumberFormat="1"/>
    <xf numFmtId="177" fontId="0" fillId="0" borderId="0" xfId="0" quotePrefix="1" applyNumberFormat="1"/>
    <xf numFmtId="0" fontId="6" fillId="36" borderId="0" xfId="0" applyFont="1" applyFill="1" applyProtection="1">
      <protection locked="0"/>
    </xf>
    <xf numFmtId="9" fontId="6" fillId="0" borderId="23" xfId="41" applyFont="1" applyBorder="1" applyAlignment="1">
      <alignment horizontal="center"/>
    </xf>
    <xf numFmtId="189" fontId="0" fillId="0" borderId="0" xfId="0" applyNumberFormat="1"/>
    <xf numFmtId="173" fontId="7" fillId="0" borderId="17" xfId="0" applyNumberFormat="1" applyFont="1" applyBorder="1"/>
    <xf numFmtId="9" fontId="6" fillId="0" borderId="31" xfId="41" applyFont="1" applyBorder="1" applyAlignment="1">
      <alignment horizontal="center"/>
    </xf>
    <xf numFmtId="9" fontId="6" fillId="0" borderId="28" xfId="41" applyFont="1" applyBorder="1" applyAlignment="1">
      <alignment horizontal="center"/>
    </xf>
    <xf numFmtId="9" fontId="6" fillId="0" borderId="31" xfId="41" applyFont="1" applyBorder="1" applyAlignment="1" applyProtection="1">
      <alignment horizontal="center"/>
    </xf>
    <xf numFmtId="9" fontId="6" fillId="0" borderId="26" xfId="41" applyFont="1" applyBorder="1" applyAlignment="1" applyProtection="1">
      <alignment horizontal="center"/>
    </xf>
    <xf numFmtId="188" fontId="7" fillId="0" borderId="0" xfId="0" applyNumberFormat="1" applyFont="1"/>
    <xf numFmtId="188" fontId="53" fillId="0" borderId="0" xfId="0" applyNumberFormat="1" applyFont="1"/>
    <xf numFmtId="164" fontId="0" fillId="0" borderId="0" xfId="0" applyNumberFormat="1"/>
    <xf numFmtId="189" fontId="7" fillId="0" borderId="0" xfId="0" applyNumberFormat="1" applyFont="1"/>
    <xf numFmtId="37" fontId="52" fillId="0" borderId="0" xfId="48" applyNumberFormat="1" applyAlignment="1">
      <alignment horizontal="right" vertical="center"/>
    </xf>
    <xf numFmtId="188" fontId="0" fillId="0" borderId="0" xfId="0" applyNumberFormat="1"/>
    <xf numFmtId="0" fontId="9" fillId="0" borderId="0" xfId="0" applyFont="1"/>
    <xf numFmtId="188" fontId="53" fillId="0" borderId="55" xfId="0" applyNumberFormat="1" applyFont="1" applyBorder="1"/>
    <xf numFmtId="189" fontId="7" fillId="0" borderId="55" xfId="0" applyNumberFormat="1" applyFont="1" applyBorder="1"/>
    <xf numFmtId="188" fontId="7" fillId="0" borderId="55" xfId="0" applyNumberFormat="1" applyFont="1" applyBorder="1"/>
    <xf numFmtId="188" fontId="53" fillId="0" borderId="31" xfId="0" applyNumberFormat="1" applyFont="1" applyBorder="1"/>
    <xf numFmtId="188" fontId="53" fillId="0" borderId="67" xfId="0" applyNumberFormat="1" applyFont="1" applyBorder="1"/>
    <xf numFmtId="189" fontId="7" fillId="37" borderId="84" xfId="0" applyNumberFormat="1" applyFont="1" applyFill="1" applyBorder="1"/>
    <xf numFmtId="189" fontId="7" fillId="37" borderId="28" xfId="0" applyNumberFormat="1" applyFont="1" applyFill="1" applyBorder="1"/>
    <xf numFmtId="2" fontId="6" fillId="0" borderId="21" xfId="41" applyNumberFormat="1" applyFont="1" applyBorder="1" applyProtection="1">
      <protection locked="0"/>
    </xf>
    <xf numFmtId="0" fontId="6" fillId="0" borderId="39" xfId="0" applyFont="1" applyBorder="1"/>
    <xf numFmtId="173" fontId="7" fillId="0" borderId="70" xfId="0" applyNumberFormat="1" applyFont="1" applyBorder="1"/>
    <xf numFmtId="169" fontId="7" fillId="0" borderId="55" xfId="41" applyNumberFormat="1" applyFont="1" applyFill="1" applyBorder="1" applyAlignment="1" applyProtection="1">
      <alignment horizontal="center" vertical="top" wrapText="1"/>
    </xf>
    <xf numFmtId="169" fontId="7" fillId="0" borderId="24" xfId="41" applyNumberFormat="1" applyFont="1" applyFill="1" applyBorder="1" applyAlignment="1" applyProtection="1">
      <alignment horizontal="center" vertical="top" wrapText="1"/>
    </xf>
    <xf numFmtId="169" fontId="7" fillId="0" borderId="13" xfId="41" applyNumberFormat="1" applyFont="1" applyFill="1" applyBorder="1" applyAlignment="1" applyProtection="1">
      <alignment horizontal="center" vertical="top" wrapText="1"/>
    </xf>
    <xf numFmtId="170" fontId="6" fillId="0" borderId="22" xfId="0" applyNumberFormat="1" applyFont="1" applyBorder="1"/>
    <xf numFmtId="170" fontId="6" fillId="0" borderId="35" xfId="0" applyNumberFormat="1" applyFont="1" applyBorder="1"/>
    <xf numFmtId="170" fontId="6" fillId="0" borderId="31" xfId="0" applyNumberFormat="1" applyFont="1" applyBorder="1"/>
    <xf numFmtId="9" fontId="7" fillId="0" borderId="66" xfId="41" applyFont="1" applyBorder="1" applyAlignment="1" applyProtection="1">
      <alignment horizontal="center"/>
    </xf>
    <xf numFmtId="9" fontId="7" fillId="0" borderId="90" xfId="41" applyFont="1" applyBorder="1" applyAlignment="1" applyProtection="1">
      <alignment horizontal="center"/>
    </xf>
    <xf numFmtId="170" fontId="6" fillId="0" borderId="28" xfId="0" applyNumberFormat="1" applyFont="1" applyBorder="1"/>
    <xf numFmtId="173" fontId="6" fillId="32" borderId="66" xfId="0" applyNumberFormat="1" applyFont="1" applyFill="1" applyBorder="1"/>
    <xf numFmtId="173" fontId="6" fillId="32" borderId="0" xfId="0" applyNumberFormat="1" applyFont="1" applyFill="1" applyAlignment="1">
      <alignment horizontal="right"/>
    </xf>
    <xf numFmtId="173" fontId="6" fillId="32" borderId="0" xfId="0" applyNumberFormat="1" applyFont="1" applyFill="1"/>
    <xf numFmtId="0" fontId="6" fillId="0" borderId="46" xfId="0" applyFont="1" applyBorder="1" applyAlignment="1">
      <alignment horizontal="center" vertical="center"/>
    </xf>
    <xf numFmtId="0" fontId="6" fillId="0" borderId="37" xfId="0" applyFont="1" applyBorder="1" applyAlignment="1">
      <alignment horizontal="center" vertical="center"/>
    </xf>
    <xf numFmtId="173" fontId="7" fillId="0" borderId="37" xfId="0" applyNumberFormat="1" applyFont="1" applyBorder="1" applyAlignment="1">
      <alignment horizontal="right"/>
    </xf>
    <xf numFmtId="173" fontId="6" fillId="32" borderId="37" xfId="0" applyNumberFormat="1" applyFont="1" applyFill="1" applyBorder="1" applyAlignment="1">
      <alignment horizontal="right"/>
    </xf>
    <xf numFmtId="173" fontId="7" fillId="0" borderId="39" xfId="0" applyNumberFormat="1" applyFont="1" applyBorder="1" applyAlignment="1">
      <alignment horizontal="right"/>
    </xf>
    <xf numFmtId="173" fontId="6" fillId="0" borderId="46" xfId="0" applyNumberFormat="1" applyFont="1" applyBorder="1"/>
    <xf numFmtId="170" fontId="7" fillId="0" borderId="12" xfId="0" applyNumberFormat="1" applyFont="1" applyBorder="1"/>
    <xf numFmtId="9" fontId="7" fillId="0" borderId="22" xfId="41" applyFont="1" applyBorder="1" applyAlignment="1" applyProtection="1">
      <alignment horizontal="center"/>
    </xf>
    <xf numFmtId="173" fontId="7" fillId="0" borderId="56" xfId="0" applyNumberFormat="1" applyFont="1" applyBorder="1" applyAlignment="1">
      <alignment vertical="top"/>
    </xf>
    <xf numFmtId="173" fontId="6" fillId="32" borderId="90" xfId="0" applyNumberFormat="1" applyFont="1" applyFill="1" applyBorder="1"/>
    <xf numFmtId="173" fontId="7" fillId="0" borderId="42" xfId="0" applyNumberFormat="1" applyFont="1" applyBorder="1" applyAlignment="1">
      <alignment vertical="top"/>
    </xf>
    <xf numFmtId="173" fontId="7" fillId="25" borderId="55" xfId="0" applyNumberFormat="1" applyFont="1" applyFill="1" applyBorder="1"/>
    <xf numFmtId="173" fontId="7" fillId="0" borderId="13" xfId="0" applyNumberFormat="1" applyFont="1" applyBorder="1"/>
    <xf numFmtId="173" fontId="7" fillId="0" borderId="13" xfId="0" applyNumberFormat="1" applyFont="1" applyBorder="1" applyAlignment="1">
      <alignment vertical="top"/>
    </xf>
    <xf numFmtId="173" fontId="7" fillId="0" borderId="70" xfId="0" applyNumberFormat="1" applyFont="1" applyBorder="1" applyAlignment="1">
      <alignment vertical="top"/>
    </xf>
    <xf numFmtId="9" fontId="6" fillId="0" borderId="23" xfId="41" applyFont="1" applyBorder="1" applyAlignment="1" applyProtection="1">
      <alignment horizontal="center"/>
    </xf>
    <xf numFmtId="9" fontId="6" fillId="0" borderId="22" xfId="41" applyFont="1" applyBorder="1" applyAlignment="1" applyProtection="1">
      <alignment horizontal="center"/>
    </xf>
    <xf numFmtId="0" fontId="6" fillId="0" borderId="78" xfId="0" applyFont="1" applyBorder="1"/>
    <xf numFmtId="173" fontId="7" fillId="0" borderId="55" xfId="0" applyNumberFormat="1" applyFont="1" applyBorder="1" applyAlignment="1">
      <alignment horizontal="right"/>
    </xf>
    <xf numFmtId="173" fontId="7" fillId="0" borderId="54" xfId="0" applyNumberFormat="1" applyFont="1" applyBorder="1" applyAlignment="1">
      <alignment horizontal="right"/>
    </xf>
    <xf numFmtId="173" fontId="6" fillId="0" borderId="78" xfId="0" applyNumberFormat="1" applyFont="1" applyBorder="1"/>
    <xf numFmtId="0" fontId="7" fillId="0" borderId="72" xfId="0" applyFont="1" applyBorder="1" applyAlignment="1">
      <alignment horizontal="center"/>
    </xf>
    <xf numFmtId="173" fontId="6" fillId="0" borderId="62" xfId="0" applyNumberFormat="1" applyFont="1" applyBorder="1"/>
    <xf numFmtId="173" fontId="7" fillId="0" borderId="71" xfId="0" applyNumberFormat="1" applyFont="1" applyBorder="1"/>
    <xf numFmtId="9" fontId="6" fillId="0" borderId="26" xfId="41" applyFont="1" applyFill="1" applyBorder="1" applyAlignment="1" applyProtection="1">
      <alignment horizontal="center"/>
    </xf>
    <xf numFmtId="9" fontId="6" fillId="0" borderId="35" xfId="41" applyFont="1" applyFill="1" applyBorder="1" applyAlignment="1" applyProtection="1">
      <alignment horizontal="center"/>
    </xf>
    <xf numFmtId="9" fontId="6" fillId="0" borderId="31" xfId="41" applyFont="1" applyFill="1" applyBorder="1" applyAlignment="1" applyProtection="1">
      <alignment horizontal="center"/>
    </xf>
    <xf numFmtId="173" fontId="6" fillId="0" borderId="54" xfId="0" applyNumberFormat="1" applyFont="1" applyBorder="1"/>
    <xf numFmtId="173" fontId="6" fillId="0" borderId="70" xfId="0" applyNumberFormat="1" applyFont="1" applyBorder="1"/>
    <xf numFmtId="173" fontId="7" fillId="0" borderId="90" xfId="0" applyNumberFormat="1" applyFont="1" applyBorder="1"/>
    <xf numFmtId="173" fontId="7" fillId="32" borderId="13" xfId="0" applyNumberFormat="1" applyFont="1" applyFill="1" applyBorder="1"/>
    <xf numFmtId="173" fontId="6" fillId="0" borderId="69" xfId="0" applyNumberFormat="1" applyFont="1" applyBorder="1"/>
    <xf numFmtId="173" fontId="7" fillId="0" borderId="91" xfId="0" applyNumberFormat="1" applyFont="1" applyBorder="1"/>
    <xf numFmtId="173" fontId="6" fillId="0" borderId="91" xfId="0" applyNumberFormat="1" applyFont="1" applyBorder="1"/>
    <xf numFmtId="173" fontId="7" fillId="32" borderId="0" xfId="0" applyNumberFormat="1" applyFont="1" applyFill="1"/>
    <xf numFmtId="173" fontId="6" fillId="0" borderId="90" xfId="0" applyNumberFormat="1" applyFont="1" applyBorder="1"/>
    <xf numFmtId="173" fontId="7" fillId="0" borderId="12" xfId="0" applyNumberFormat="1" applyFont="1" applyBorder="1"/>
    <xf numFmtId="169" fontId="7" fillId="0" borderId="12" xfId="41" applyNumberFormat="1" applyFont="1" applyFill="1" applyBorder="1" applyAlignment="1" applyProtection="1">
      <alignment horizontal="center" vertical="top" wrapText="1"/>
    </xf>
    <xf numFmtId="173" fontId="6" fillId="0" borderId="77" xfId="0" applyNumberFormat="1" applyFont="1" applyBorder="1"/>
    <xf numFmtId="173" fontId="6" fillId="32" borderId="11" xfId="0" applyNumberFormat="1" applyFont="1" applyFill="1" applyBorder="1"/>
    <xf numFmtId="173" fontId="7" fillId="32" borderId="11" xfId="0" applyNumberFormat="1" applyFont="1" applyFill="1" applyBorder="1"/>
    <xf numFmtId="169" fontId="7" fillId="0" borderId="23" xfId="41" applyNumberFormat="1" applyFont="1" applyFill="1" applyBorder="1" applyAlignment="1" applyProtection="1">
      <alignment horizontal="center" vertical="top" wrapText="1"/>
    </xf>
    <xf numFmtId="0" fontId="52" fillId="0" borderId="55" xfId="73" quotePrefix="1" applyBorder="1"/>
    <xf numFmtId="0" fontId="52" fillId="0" borderId="55" xfId="74" quotePrefix="1" applyBorder="1"/>
    <xf numFmtId="0" fontId="52" fillId="0" borderId="66" xfId="74" quotePrefix="1" applyBorder="1"/>
    <xf numFmtId="165" fontId="6" fillId="0" borderId="0" xfId="28" applyFont="1"/>
    <xf numFmtId="164" fontId="6" fillId="0" borderId="0" xfId="0" applyNumberFormat="1" applyFont="1"/>
    <xf numFmtId="173" fontId="7" fillId="0" borderId="42" xfId="0" applyNumberFormat="1" applyFont="1" applyBorder="1" applyAlignment="1">
      <alignment horizontal="right"/>
    </xf>
    <xf numFmtId="173" fontId="7" fillId="0" borderId="62" xfId="0" applyNumberFormat="1" applyFont="1" applyBorder="1" applyAlignment="1">
      <alignment horizontal="right"/>
    </xf>
    <xf numFmtId="169" fontId="7" fillId="0" borderId="71" xfId="41" applyNumberFormat="1" applyFont="1" applyFill="1" applyBorder="1" applyAlignment="1" applyProtection="1">
      <alignment horizontal="center" vertical="top" wrapText="1"/>
    </xf>
    <xf numFmtId="173" fontId="6" fillId="29" borderId="21" xfId="88" applyNumberFormat="1" applyFont="1" applyFill="1" applyBorder="1" applyProtection="1">
      <protection locked="0"/>
    </xf>
    <xf numFmtId="0" fontId="52" fillId="0" borderId="0" xfId="69" quotePrefix="1"/>
    <xf numFmtId="170" fontId="6" fillId="0" borderId="32" xfId="0" applyNumberFormat="1" applyFont="1" applyBorder="1"/>
    <xf numFmtId="174" fontId="6" fillId="0" borderId="21" xfId="41" applyNumberFormat="1" applyFont="1" applyBorder="1" applyAlignment="1">
      <alignment wrapText="1"/>
    </xf>
    <xf numFmtId="0" fontId="6" fillId="0" borderId="11" xfId="88" quotePrefix="1" applyFont="1" applyBorder="1" applyAlignment="1">
      <alignment horizontal="left" indent="2"/>
    </xf>
    <xf numFmtId="181" fontId="52" fillId="0" borderId="0" xfId="72" quotePrefix="1" applyNumberFormat="1"/>
    <xf numFmtId="182" fontId="0" fillId="0" borderId="0" xfId="0" quotePrefix="1" applyNumberFormat="1"/>
    <xf numFmtId="173" fontId="7" fillId="0" borderId="55" xfId="0" applyNumberFormat="1" applyFont="1" applyBorder="1" applyAlignment="1">
      <alignment vertical="top"/>
    </xf>
    <xf numFmtId="173" fontId="6" fillId="37" borderId="55" xfId="0" applyNumberFormat="1" applyFont="1" applyFill="1" applyBorder="1"/>
    <xf numFmtId="173" fontId="7" fillId="32" borderId="10" xfId="0" applyNumberFormat="1" applyFont="1" applyFill="1" applyBorder="1"/>
    <xf numFmtId="173" fontId="7" fillId="32" borderId="55" xfId="0" applyNumberFormat="1" applyFont="1" applyFill="1" applyBorder="1"/>
    <xf numFmtId="0" fontId="1" fillId="0" borderId="0" xfId="46" applyAlignment="1">
      <alignment wrapText="1"/>
    </xf>
    <xf numFmtId="188" fontId="6" fillId="0" borderId="21" xfId="46" applyNumberFormat="1" applyFont="1" applyBorder="1"/>
    <xf numFmtId="190" fontId="6" fillId="0" borderId="21" xfId="87" applyNumberFormat="1" applyFont="1" applyBorder="1" applyAlignment="1" applyProtection="1">
      <alignment vertical="top" wrapText="1"/>
    </xf>
    <xf numFmtId="173" fontId="6" fillId="32" borderId="24" xfId="88" applyNumberFormat="1" applyFont="1" applyFill="1" applyBorder="1"/>
    <xf numFmtId="173" fontId="6" fillId="32" borderId="21" xfId="88" applyNumberFormat="1" applyFont="1" applyFill="1" applyBorder="1"/>
    <xf numFmtId="173" fontId="6" fillId="37" borderId="11" xfId="0" applyNumberFormat="1" applyFont="1" applyFill="1" applyBorder="1"/>
    <xf numFmtId="173" fontId="6" fillId="32" borderId="63" xfId="0" applyNumberFormat="1" applyFont="1" applyFill="1" applyBorder="1"/>
    <xf numFmtId="173" fontId="7" fillId="32" borderId="37" xfId="0" applyNumberFormat="1" applyFont="1" applyFill="1" applyBorder="1"/>
    <xf numFmtId="0" fontId="7" fillId="0" borderId="11" xfId="0" applyFont="1" applyBorder="1" applyAlignment="1">
      <alignment vertical="center"/>
    </xf>
    <xf numFmtId="173" fontId="6" fillId="29" borderId="10" xfId="88" applyNumberFormat="1" applyFont="1" applyFill="1" applyBorder="1" applyProtection="1">
      <protection locked="0"/>
    </xf>
    <xf numFmtId="0" fontId="6" fillId="32" borderId="24" xfId="0" applyFont="1" applyFill="1" applyBorder="1" applyAlignment="1">
      <alignment horizontal="left" indent="2"/>
    </xf>
    <xf numFmtId="188" fontId="6" fillId="36" borderId="21" xfId="46" applyNumberFormat="1" applyFont="1" applyFill="1" applyBorder="1"/>
    <xf numFmtId="0" fontId="6" fillId="32" borderId="21" xfId="0" applyFont="1" applyFill="1" applyBorder="1" applyAlignment="1">
      <alignment horizontal="left" indent="2"/>
    </xf>
    <xf numFmtId="188" fontId="6" fillId="36" borderId="37" xfId="46" applyNumberFormat="1" applyFont="1" applyFill="1" applyBorder="1"/>
    <xf numFmtId="173" fontId="6" fillId="37" borderId="0" xfId="0" applyNumberFormat="1" applyFont="1" applyFill="1"/>
    <xf numFmtId="173" fontId="6" fillId="37" borderId="21" xfId="0" applyNumberFormat="1" applyFont="1" applyFill="1" applyBorder="1"/>
    <xf numFmtId="190" fontId="6" fillId="0" borderId="55" xfId="87" applyNumberFormat="1" applyFont="1" applyBorder="1" applyAlignment="1" applyProtection="1">
      <alignment vertical="top" wrapText="1"/>
    </xf>
    <xf numFmtId="173" fontId="6" fillId="29" borderId="24" xfId="88" applyNumberFormat="1" applyFont="1" applyFill="1" applyBorder="1" applyProtection="1">
      <protection locked="0"/>
    </xf>
    <xf numFmtId="188" fontId="6" fillId="0" borderId="55" xfId="46" applyNumberFormat="1" applyFont="1" applyBorder="1"/>
    <xf numFmtId="188" fontId="6" fillId="0" borderId="41" xfId="46" applyNumberFormat="1" applyFont="1" applyBorder="1"/>
    <xf numFmtId="0" fontId="7" fillId="0" borderId="10" xfId="0" applyFont="1" applyBorder="1" applyAlignment="1">
      <alignment vertical="center"/>
    </xf>
    <xf numFmtId="169" fontId="7" fillId="0" borderId="26" xfId="41" applyNumberFormat="1" applyFont="1" applyFill="1" applyBorder="1" applyAlignment="1" applyProtection="1">
      <alignment wrapText="1"/>
    </xf>
    <xf numFmtId="0" fontId="56" fillId="0" borderId="0" xfId="0" applyFont="1" applyAlignment="1">
      <alignment horizontal="left" wrapText="1"/>
    </xf>
    <xf numFmtId="0" fontId="57" fillId="0" borderId="0" xfId="0" applyFont="1" applyAlignment="1">
      <alignment horizontal="left"/>
    </xf>
    <xf numFmtId="0" fontId="57" fillId="0" borderId="0" xfId="0" applyFont="1" applyAlignment="1">
      <alignment horizontal="left" wrapText="1"/>
    </xf>
    <xf numFmtId="0" fontId="57" fillId="38" borderId="0" xfId="0" applyFont="1" applyFill="1" applyAlignment="1">
      <alignment horizontal="left" wrapText="1"/>
    </xf>
    <xf numFmtId="0" fontId="58" fillId="0" borderId="0" xfId="0" applyFont="1" applyAlignment="1">
      <alignment horizontal="left" wrapText="1"/>
    </xf>
    <xf numFmtId="3" fontId="57" fillId="38" borderId="0" xfId="0" quotePrefix="1" applyNumberFormat="1" applyFont="1" applyFill="1" applyAlignment="1">
      <alignment horizontal="left" wrapText="1"/>
    </xf>
    <xf numFmtId="0" fontId="57" fillId="38" borderId="0" xfId="0" quotePrefix="1" applyFont="1" applyFill="1" applyAlignment="1">
      <alignment horizontal="left" wrapText="1"/>
    </xf>
    <xf numFmtId="49" fontId="57" fillId="38" borderId="0" xfId="0" applyNumberFormat="1" applyFont="1" applyFill="1" applyAlignment="1">
      <alignment horizontal="left" wrapText="1"/>
    </xf>
    <xf numFmtId="176" fontId="6" fillId="36" borderId="0" xfId="0" applyNumberFormat="1" applyFont="1" applyFill="1" applyAlignment="1" applyProtection="1">
      <alignment horizontal="center"/>
      <protection locked="0"/>
    </xf>
    <xf numFmtId="0" fontId="59" fillId="0" borderId="11" xfId="0" applyFont="1" applyBorder="1" applyAlignment="1">
      <alignment horizontal="left" indent="1"/>
    </xf>
    <xf numFmtId="173" fontId="7" fillId="32" borderId="32" xfId="0" applyNumberFormat="1" applyFont="1" applyFill="1" applyBorder="1"/>
    <xf numFmtId="169" fontId="7" fillId="0" borderId="21" xfId="41" applyNumberFormat="1" applyFont="1" applyFill="1" applyBorder="1" applyAlignment="1" applyProtection="1">
      <alignment wrapText="1"/>
    </xf>
    <xf numFmtId="173" fontId="6" fillId="29" borderId="55" xfId="88" applyNumberFormat="1" applyFont="1" applyFill="1" applyBorder="1"/>
    <xf numFmtId="173" fontId="6" fillId="29" borderId="37" xfId="88" applyNumberFormat="1" applyFont="1" applyFill="1" applyBorder="1"/>
    <xf numFmtId="0" fontId="5" fillId="0" borderId="15" xfId="0" applyFont="1" applyBorder="1"/>
    <xf numFmtId="9" fontId="6" fillId="0" borderId="28" xfId="41" applyFont="1" applyBorder="1" applyAlignment="1" applyProtection="1">
      <alignment horizontal="center"/>
    </xf>
    <xf numFmtId="0" fontId="0" fillId="0" borderId="0" xfId="0" quotePrefix="1" applyAlignment="1">
      <alignment wrapText="1"/>
    </xf>
    <xf numFmtId="0" fontId="52" fillId="0" borderId="0" xfId="75" quotePrefix="1"/>
    <xf numFmtId="191" fontId="6" fillId="36" borderId="0" xfId="0" applyNumberFormat="1" applyFont="1" applyFill="1" applyProtection="1">
      <protection locked="0"/>
    </xf>
    <xf numFmtId="192" fontId="52" fillId="0" borderId="0" xfId="48" applyNumberFormat="1"/>
    <xf numFmtId="0" fontId="6" fillId="36" borderId="37" xfId="46" applyFont="1" applyFill="1" applyBorder="1" applyProtection="1">
      <protection locked="0"/>
    </xf>
    <xf numFmtId="173" fontId="6" fillId="29" borderId="24" xfId="88" applyNumberFormat="1" applyFont="1" applyFill="1" applyBorder="1"/>
    <xf numFmtId="173" fontId="6" fillId="29" borderId="21" xfId="88" applyNumberFormat="1" applyFont="1" applyFill="1" applyBorder="1"/>
    <xf numFmtId="169" fontId="6" fillId="32" borderId="21" xfId="87" applyNumberFormat="1" applyFont="1" applyFill="1" applyBorder="1" applyAlignment="1" applyProtection="1">
      <alignment horizontal="center" vertical="top" wrapText="1"/>
      <protection locked="0"/>
    </xf>
    <xf numFmtId="176" fontId="6" fillId="36" borderId="0" xfId="89" applyNumberFormat="1" applyFont="1" applyFill="1" applyAlignment="1" applyProtection="1">
      <alignment horizontal="center"/>
      <protection locked="0"/>
    </xf>
    <xf numFmtId="0" fontId="6" fillId="32" borderId="55" xfId="86" applyFont="1" applyFill="1" applyBorder="1" applyAlignment="1" applyProtection="1">
      <alignment horizontal="center"/>
      <protection locked="0"/>
    </xf>
    <xf numFmtId="0" fontId="6" fillId="32" borderId="0" xfId="86" applyFont="1" applyFill="1" applyAlignment="1" applyProtection="1">
      <alignment horizontal="center"/>
      <protection locked="0"/>
    </xf>
    <xf numFmtId="0" fontId="6" fillId="32" borderId="11" xfId="86" applyFont="1" applyFill="1" applyBorder="1" applyProtection="1">
      <protection locked="0"/>
    </xf>
    <xf numFmtId="0" fontId="6" fillId="36" borderId="0" xfId="89" applyFont="1" applyFill="1" applyProtection="1">
      <protection locked="0"/>
    </xf>
    <xf numFmtId="0" fontId="6" fillId="32" borderId="32" xfId="86" applyFont="1" applyFill="1" applyBorder="1" applyAlignment="1" applyProtection="1">
      <alignment horizontal="center"/>
      <protection locked="0"/>
    </xf>
    <xf numFmtId="176" fontId="6" fillId="32" borderId="32" xfId="86" applyNumberFormat="1" applyFont="1" applyFill="1" applyBorder="1" applyAlignment="1" applyProtection="1">
      <alignment horizontal="center"/>
      <protection locked="0"/>
    </xf>
    <xf numFmtId="0" fontId="3" fillId="30" borderId="58" xfId="0" applyFont="1" applyFill="1" applyBorder="1" applyAlignment="1">
      <alignment horizontal="center"/>
    </xf>
    <xf numFmtId="0" fontId="3" fillId="30" borderId="61" xfId="0" applyFont="1" applyFill="1" applyBorder="1" applyAlignment="1">
      <alignment horizontal="center"/>
    </xf>
    <xf numFmtId="0" fontId="3" fillId="30" borderId="18" xfId="0" applyFont="1" applyFill="1" applyBorder="1" applyAlignment="1">
      <alignment horizontal="center"/>
    </xf>
    <xf numFmtId="0" fontId="3" fillId="24" borderId="58" xfId="0" applyFont="1" applyFill="1" applyBorder="1" applyAlignment="1">
      <alignment horizontal="center"/>
    </xf>
    <xf numFmtId="0" fontId="3" fillId="24" borderId="61" xfId="0" applyFont="1" applyFill="1" applyBorder="1" applyAlignment="1">
      <alignment horizontal="center"/>
    </xf>
    <xf numFmtId="0" fontId="3" fillId="31" borderId="58" xfId="0" applyFont="1" applyFill="1" applyBorder="1" applyAlignment="1">
      <alignment horizontal="center"/>
    </xf>
    <xf numFmtId="0" fontId="3" fillId="31" borderId="61" xfId="0" applyFont="1" applyFill="1" applyBorder="1" applyAlignment="1">
      <alignment horizontal="center"/>
    </xf>
    <xf numFmtId="0" fontId="3" fillId="31" borderId="18" xfId="0" applyFont="1" applyFill="1" applyBorder="1" applyAlignment="1">
      <alignment horizontal="center"/>
    </xf>
    <xf numFmtId="0" fontId="55" fillId="0" borderId="0" xfId="0" applyFont="1" applyAlignment="1">
      <alignment wrapText="1"/>
    </xf>
    <xf numFmtId="0" fontId="0" fillId="0" borderId="0" xfId="0"/>
    <xf numFmtId="0" fontId="10" fillId="0" borderId="0" xfId="0" applyFont="1" applyAlignment="1">
      <alignment horizontal="left" wrapText="1"/>
    </xf>
    <xf numFmtId="0" fontId="7" fillId="0" borderId="40" xfId="0" applyFont="1" applyBorder="1" applyAlignment="1">
      <alignment horizontal="center" vertical="center"/>
    </xf>
    <xf numFmtId="0" fontId="36" fillId="0" borderId="10" xfId="0" applyFont="1" applyBorder="1"/>
    <xf numFmtId="0" fontId="7" fillId="0" borderId="85" xfId="0" applyFont="1" applyBorder="1" applyAlignment="1">
      <alignment horizontal="center" vertical="center" wrapText="1"/>
    </xf>
    <xf numFmtId="0" fontId="7" fillId="0" borderId="83"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xf>
    <xf numFmtId="0" fontId="7" fillId="0" borderId="21"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5" fillId="0" borderId="14" xfId="0" applyFont="1" applyBorder="1" applyAlignment="1">
      <alignment horizontal="left" wrapText="1"/>
    </xf>
    <xf numFmtId="0" fontId="10" fillId="0" borderId="0" xfId="0" applyFont="1" applyAlignment="1">
      <alignment horizontal="left" vertical="top" wrapText="1"/>
    </xf>
    <xf numFmtId="0" fontId="7" fillId="0" borderId="10" xfId="0" applyFont="1" applyBorder="1" applyAlignment="1">
      <alignment horizontal="center" vertical="center"/>
    </xf>
    <xf numFmtId="0" fontId="7" fillId="0" borderId="19" xfId="0" applyFont="1" applyBorder="1" applyAlignment="1">
      <alignment horizontal="center" vertical="center"/>
    </xf>
    <xf numFmtId="0" fontId="7" fillId="24" borderId="58" xfId="0" applyFont="1" applyFill="1" applyBorder="1" applyAlignment="1">
      <alignment horizontal="center" vertical="center" wrapText="1"/>
    </xf>
    <xf numFmtId="0" fontId="36" fillId="0" borderId="61" xfId="0" applyFont="1" applyBorder="1"/>
    <xf numFmtId="0" fontId="36" fillId="0" borderId="18" xfId="0" applyFont="1" applyBorder="1"/>
    <xf numFmtId="0" fontId="7" fillId="0" borderId="46" xfId="0" applyFont="1" applyBorder="1" applyAlignment="1">
      <alignment horizontal="center" vertical="center"/>
    </xf>
    <xf numFmtId="0" fontId="7" fillId="0" borderId="37" xfId="0" applyFont="1" applyBorder="1" applyAlignment="1">
      <alignment horizontal="center" vertical="center"/>
    </xf>
    <xf numFmtId="0" fontId="5" fillId="0" borderId="14" xfId="0" applyFont="1" applyBorder="1" applyAlignment="1">
      <alignment horizontal="left"/>
    </xf>
    <xf numFmtId="0" fontId="10" fillId="0" borderId="0" xfId="0" quotePrefix="1" applyFont="1" applyAlignment="1">
      <alignment horizontal="left" wrapText="1"/>
    </xf>
    <xf numFmtId="0" fontId="10" fillId="0" borderId="0" xfId="0" applyFont="1" applyAlignment="1">
      <alignment wrapText="1"/>
    </xf>
    <xf numFmtId="0" fontId="5" fillId="0" borderId="14" xfId="0" applyFont="1" applyBorder="1" applyAlignment="1">
      <alignment horizontal="left" vertical="top"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0" xfId="0" applyFont="1" applyAlignment="1">
      <alignment horizontal="left"/>
    </xf>
    <xf numFmtId="0" fontId="7" fillId="0" borderId="85" xfId="0" applyFont="1" applyBorder="1" applyAlignment="1">
      <alignment horizontal="center" wrapText="1"/>
    </xf>
    <xf numFmtId="0" fontId="7" fillId="0" borderId="83" xfId="0" applyFont="1" applyBorder="1" applyAlignment="1">
      <alignment horizontal="center" wrapText="1"/>
    </xf>
    <xf numFmtId="0" fontId="7" fillId="0" borderId="20" xfId="0" applyFont="1" applyBorder="1" applyAlignment="1">
      <alignment horizontal="center" wrapText="1"/>
    </xf>
    <xf numFmtId="0" fontId="7" fillId="0" borderId="4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23"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63" xfId="0" applyFont="1" applyBorder="1" applyAlignment="1">
      <alignment horizontal="center" vertical="center" wrapText="1"/>
    </xf>
    <xf numFmtId="0" fontId="36" fillId="0" borderId="11" xfId="0" applyFont="1" applyBorder="1"/>
    <xf numFmtId="0" fontId="7" fillId="0" borderId="77" xfId="0" applyFont="1" applyBorder="1" applyAlignment="1">
      <alignment horizontal="center" vertical="top" wrapText="1"/>
    </xf>
    <xf numFmtId="0" fontId="7" fillId="0" borderId="69" xfId="0" applyFont="1" applyBorder="1" applyAlignment="1">
      <alignment horizontal="center" vertical="top" wrapText="1"/>
    </xf>
    <xf numFmtId="0" fontId="7" fillId="0" borderId="70" xfId="0" applyFont="1" applyBorder="1" applyAlignment="1">
      <alignment horizontal="center" vertical="top" wrapText="1"/>
    </xf>
    <xf numFmtId="0" fontId="7" fillId="0" borderId="72"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51" xfId="0" applyFont="1" applyBorder="1" applyAlignment="1">
      <alignment horizontal="center" vertical="center" wrapText="1"/>
    </xf>
  </cellXfs>
  <cellStyles count="9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90"/>
    <cellStyle name="Comma_B Schedule Municipal Adjustments Budget - 23 March 2009 cb" xfId="29"/>
    <cellStyle name="Explanatory Text" xfId="30" builtinId="53" customBuiltin="1"/>
    <cellStyle name="Good" xfId="31" builtinId="26" customBuiltin="1"/>
    <cellStyle name="Good 2" xfId="92"/>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 2" xfId="46"/>
    <cellStyle name="Normal 3" xfId="86"/>
    <cellStyle name="Normal 4" xfId="89"/>
    <cellStyle name="Normal 6" xfId="88"/>
    <cellStyle name="Note" xfId="39" builtinId="10" customBuiltin="1"/>
    <cellStyle name="Output" xfId="40" builtinId="21" customBuiltin="1"/>
    <cellStyle name="Percent" xfId="41" builtinId="5"/>
    <cellStyle name="Percent 10 2" xfId="42"/>
    <cellStyle name="Percent 2" xfId="87"/>
    <cellStyle name="Percent 3" xfId="91"/>
    <cellStyle name="SAPBorder" xfId="66"/>
    <cellStyle name="SAPDataCell" xfId="48"/>
    <cellStyle name="SAPDataRemoved" xfId="67"/>
    <cellStyle name="SAPDataTotalCell" xfId="49"/>
    <cellStyle name="SAPDimensionCell" xfId="47"/>
    <cellStyle name="SAPEditableDataCell" xfId="51"/>
    <cellStyle name="SAPEditableDataTotalCell" xfId="54"/>
    <cellStyle name="SAPEmphasized" xfId="77"/>
    <cellStyle name="SAPEmphasizedEditableDataCell" xfId="79"/>
    <cellStyle name="SAPEmphasizedEditableDataTotalCell" xfId="80"/>
    <cellStyle name="SAPEmphasizedLockedDataCell" xfId="83"/>
    <cellStyle name="SAPEmphasizedLockedDataTotalCell" xfId="84"/>
    <cellStyle name="SAPEmphasizedReadonlyDataCell" xfId="81"/>
    <cellStyle name="SAPEmphasizedReadonlyDataTotalCell" xfId="82"/>
    <cellStyle name="SAPEmphasizedTotal" xfId="78"/>
    <cellStyle name="SAPError" xfId="68"/>
    <cellStyle name="SAPExceptionLevel1" xfId="57"/>
    <cellStyle name="SAPExceptionLevel2" xfId="58"/>
    <cellStyle name="SAPExceptionLevel3" xfId="59"/>
    <cellStyle name="SAPExceptionLevel4" xfId="60"/>
    <cellStyle name="SAPExceptionLevel5" xfId="61"/>
    <cellStyle name="SAPExceptionLevel6" xfId="62"/>
    <cellStyle name="SAPExceptionLevel7" xfId="63"/>
    <cellStyle name="SAPExceptionLevel8" xfId="64"/>
    <cellStyle name="SAPExceptionLevel9" xfId="65"/>
    <cellStyle name="SAPFormula" xfId="85"/>
    <cellStyle name="SAPGroupingFillCell" xfId="50"/>
    <cellStyle name="SAPHierarchyCell0" xfId="72"/>
    <cellStyle name="SAPHierarchyCell1" xfId="73"/>
    <cellStyle name="SAPHierarchyCell2" xfId="74"/>
    <cellStyle name="SAPHierarchyCell3" xfId="75"/>
    <cellStyle name="SAPHierarchyCell4" xfId="76"/>
    <cellStyle name="SAPLockedDataCell" xfId="53"/>
    <cellStyle name="SAPLockedDataTotalCell" xfId="56"/>
    <cellStyle name="SAPMemberCell" xfId="70"/>
    <cellStyle name="SAPMemberTotalCell" xfId="71"/>
    <cellStyle name="SAPMessageText" xfId="69"/>
    <cellStyle name="SAPReadonlyDataCell" xfId="52"/>
    <cellStyle name="SAPReadonlyDataTotalCell" xfId="55"/>
    <cellStyle name="Title" xfId="43" builtinId="15" customBuiltin="1"/>
    <cellStyle name="Total" xfId="44" builtinId="25" customBuiltin="1"/>
    <cellStyle name="Warning Text" xfId="4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2024/25</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438629194.72000015</c:v>
                </c:pt>
                <c:pt idx="1">
                  <c:v>23593006.140000001</c:v>
                </c:pt>
                <c:pt idx="2">
                  <c:v>28163145.959999997</c:v>
                </c:pt>
                <c:pt idx="3">
                  <c:v>17486121.879999999</c:v>
                </c:pt>
                <c:pt idx="4">
                  <c:v>10745260.710000001</c:v>
                </c:pt>
                <c:pt idx="5">
                  <c:v>18001650.940000001</c:v>
                </c:pt>
                <c:pt idx="6">
                  <c:v>105096902.52000001</c:v>
                </c:pt>
                <c:pt idx="7">
                  <c:v>312179117.07999998</c:v>
                </c:pt>
              </c:numCache>
            </c:numRef>
          </c:val>
          <c:extLst>
            <c:ext xmlns:c16="http://schemas.microsoft.com/office/drawing/2014/chart" uri="{C3380CC4-5D6E-409C-BE32-E72D297353CC}">
              <c16:uniqueId val="{00000000-BB49-4E7A-AFE1-A0DF0E6789CC}"/>
            </c:ext>
          </c:extLst>
        </c:ser>
        <c:ser>
          <c:idx val="1"/>
          <c:order val="1"/>
          <c:tx>
            <c:strRef>
              <c:f>SC71charts!$A$54</c:f>
              <c:strCache>
                <c:ptCount val="1"/>
                <c:pt idx="0">
                  <c:v>2023/24</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B49-4E7A-AFE1-A0DF0E6789CC}"/>
            </c:ext>
          </c:extLst>
        </c:ser>
        <c:dLbls>
          <c:showLegendKey val="0"/>
          <c:showVal val="0"/>
          <c:showCatName val="0"/>
          <c:showSerName val="0"/>
          <c:showPercent val="0"/>
          <c:showBubbleSize val="0"/>
        </c:dLbls>
        <c:gapWidth val="150"/>
        <c:shape val="box"/>
        <c:axId val="2096621600"/>
        <c:axId val="1"/>
        <c:axId val="0"/>
      </c:bar3DChart>
      <c:catAx>
        <c:axId val="20966216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5463882232"/>
              <c:y val="0.39858506323073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209662160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2023/24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277842860.12189996</c:v>
                </c:pt>
                <c:pt idx="1">
                  <c:v>330310163.88549995</c:v>
                </c:pt>
                <c:pt idx="2">
                  <c:v>304422576.03249997</c:v>
                </c:pt>
                <c:pt idx="3">
                  <c:v>12701967.911600001</c:v>
                </c:pt>
              </c:numCache>
            </c:numRef>
          </c:val>
          <c:extLst>
            <c:ext xmlns:c16="http://schemas.microsoft.com/office/drawing/2014/chart" uri="{C3380CC4-5D6E-409C-BE32-E72D297353CC}">
              <c16:uniqueId val="{00000000-761A-4746-9B36-67D4B46ADA50}"/>
            </c:ext>
          </c:extLst>
        </c:ser>
        <c:ser>
          <c:idx val="1"/>
          <c:order val="1"/>
          <c:tx>
            <c:strRef>
              <c:f>SC71charts!$C$77</c:f>
              <c:strCache>
                <c:ptCount val="1"/>
                <c:pt idx="0">
                  <c:v>Budget Year 2024/25</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286435938.26999998</c:v>
                </c:pt>
                <c:pt idx="1">
                  <c:v>340525942.14999998</c:v>
                </c:pt>
                <c:pt idx="2">
                  <c:v>313837707.25</c:v>
                </c:pt>
                <c:pt idx="3">
                  <c:v>13094812.280000001</c:v>
                </c:pt>
              </c:numCache>
            </c:numRef>
          </c:val>
          <c:extLst>
            <c:ext xmlns:c16="http://schemas.microsoft.com/office/drawing/2014/chart" uri="{C3380CC4-5D6E-409C-BE32-E72D297353CC}">
              <c16:uniqueId val="{00000001-761A-4746-9B36-67D4B46ADA50}"/>
            </c:ext>
          </c:extLst>
        </c:ser>
        <c:dLbls>
          <c:showLegendKey val="0"/>
          <c:showVal val="0"/>
          <c:showCatName val="0"/>
          <c:showSerName val="0"/>
          <c:showPercent val="0"/>
          <c:showBubbleSize val="0"/>
        </c:dLbls>
        <c:gapWidth val="150"/>
        <c:shape val="box"/>
        <c:axId val="2096623264"/>
        <c:axId val="1"/>
        <c:axId val="0"/>
      </c:bar3DChart>
      <c:catAx>
        <c:axId val="2096623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73875419038"/>
              <c:y val="0.4047059523986723"/>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2096623264"/>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2023/24</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393-41B4-A5A5-778EDEF79476}"/>
            </c:ext>
          </c:extLst>
        </c:ser>
        <c:ser>
          <c:idx val="1"/>
          <c:order val="1"/>
          <c:tx>
            <c:strRef>
              <c:f>SC71charts!$A$104</c:f>
              <c:strCache>
                <c:ptCount val="1"/>
                <c:pt idx="0">
                  <c:v>Budget Year 2024/25</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146069507.13</c:v>
                </c:pt>
                <c:pt idx="1">
                  <c:v>0</c:v>
                </c:pt>
                <c:pt idx="2">
                  <c:v>15630309.23</c:v>
                </c:pt>
                <c:pt idx="3">
                  <c:v>0</c:v>
                </c:pt>
                <c:pt idx="4">
                  <c:v>14486482.119999999</c:v>
                </c:pt>
                <c:pt idx="5">
                  <c:v>0</c:v>
                </c:pt>
                <c:pt idx="6">
                  <c:v>22393878.699999999</c:v>
                </c:pt>
                <c:pt idx="7">
                  <c:v>0</c:v>
                </c:pt>
                <c:pt idx="8">
                  <c:v>0</c:v>
                </c:pt>
              </c:numCache>
            </c:numRef>
          </c:val>
          <c:extLst>
            <c:ext xmlns:c16="http://schemas.microsoft.com/office/drawing/2014/chart" uri="{C3380CC4-5D6E-409C-BE32-E72D297353CC}">
              <c16:uniqueId val="{00000001-4393-41B4-A5A5-778EDEF79476}"/>
            </c:ext>
          </c:extLst>
        </c:ser>
        <c:dLbls>
          <c:showLegendKey val="0"/>
          <c:showVal val="0"/>
          <c:showCatName val="0"/>
          <c:showSerName val="0"/>
          <c:showPercent val="0"/>
          <c:showBubbleSize val="0"/>
        </c:dLbls>
        <c:gapWidth val="150"/>
        <c:shape val="box"/>
        <c:axId val="2096623680"/>
        <c:axId val="1"/>
        <c:axId val="0"/>
      </c:bar3DChart>
      <c:catAx>
        <c:axId val="20966236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31110142853"/>
              <c:y val="0.39243559649383447"/>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662368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2023/24</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4535061.28</c:v>
                </c:pt>
                <c:pt idx="1">
                  <c:v>103758970.09999999</c:v>
                </c:pt>
                <c:pt idx="2">
                  <c:v>85606992.560000002</c:v>
                </c:pt>
                <c:pt idx="3">
                  <c:v>101131229.33</c:v>
                </c:pt>
                <c:pt idx="4">
                  <c:v>44444850.619999997</c:v>
                </c:pt>
                <c:pt idx="5">
                  <c:v>123482370.41</c:v>
                </c:pt>
                <c:pt idx="6">
                  <c:v>26809154.739999998</c:v>
                </c:pt>
                <c:pt idx="7">
                  <c:v>42619673.32</c:v>
                </c:pt>
                <c:pt idx="8">
                  <c:v>113992367.58</c:v>
                </c:pt>
                <c:pt idx="9">
                  <c:v>32876689.350000001</c:v>
                </c:pt>
                <c:pt idx="10">
                  <c:v>54778304.130000003</c:v>
                </c:pt>
                <c:pt idx="11">
                  <c:v>59484050.799999997</c:v>
                </c:pt>
              </c:numCache>
            </c:numRef>
          </c:val>
          <c:extLst>
            <c:ext xmlns:c16="http://schemas.microsoft.com/office/drawing/2014/chart" uri="{C3380CC4-5D6E-409C-BE32-E72D297353CC}">
              <c16:uniqueId val="{00000000-4876-402F-A0F6-2F27C54EAFD8}"/>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16640900</c:v>
                </c:pt>
                <c:pt idx="1">
                  <c:v>67822300</c:v>
                </c:pt>
                <c:pt idx="2">
                  <c:v>49320600</c:v>
                </c:pt>
                <c:pt idx="3">
                  <c:v>79875300</c:v>
                </c:pt>
                <c:pt idx="4">
                  <c:v>76092700</c:v>
                </c:pt>
                <c:pt idx="5">
                  <c:v>67629800</c:v>
                </c:pt>
                <c:pt idx="6">
                  <c:v>58814000</c:v>
                </c:pt>
                <c:pt idx="7">
                  <c:v>57829900</c:v>
                </c:pt>
                <c:pt idx="8">
                  <c:v>47815500</c:v>
                </c:pt>
                <c:pt idx="9">
                  <c:v>55902500</c:v>
                </c:pt>
                <c:pt idx="10">
                  <c:v>22763000</c:v>
                </c:pt>
                <c:pt idx="11">
                  <c:v>10487500</c:v>
                </c:pt>
              </c:numCache>
            </c:numRef>
          </c:val>
          <c:extLst>
            <c:ext xmlns:c16="http://schemas.microsoft.com/office/drawing/2014/chart" uri="{C3380CC4-5D6E-409C-BE32-E72D297353CC}">
              <c16:uniqueId val="{00000001-4876-402F-A0F6-2F27C54EAFD8}"/>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57121340.789999999</c:v>
                </c:pt>
                <c:pt idx="1">
                  <c:v>54919434.43</c:v>
                </c:pt>
                <c:pt idx="2">
                  <c:v>25025378.09</c:v>
                </c:pt>
                <c:pt idx="3">
                  <c:v>46598499.659999996</c:v>
                </c:pt>
                <c:pt idx="4">
                  <c:v>52505587.329999998</c:v>
                </c:pt>
                <c:pt idx="5">
                  <c:v>43812712.109999999</c:v>
                </c:pt>
                <c:pt idx="6">
                  <c:v>28262641.75</c:v>
                </c:pt>
                <c:pt idx="7">
                  <c:v>62844413.770000003</c:v>
                </c:pt>
                <c:pt idx="8">
                  <c:v>59511964.159999996</c:v>
                </c:pt>
                <c:pt idx="9">
                  <c:v>64643962.310000002</c:v>
                </c:pt>
                <c:pt idx="10">
                  <c:v>66599084.619999997</c:v>
                </c:pt>
                <c:pt idx="11">
                  <c:v>65960180.979999997</c:v>
                </c:pt>
              </c:numCache>
            </c:numRef>
          </c:val>
          <c:extLst>
            <c:ext xmlns:c16="http://schemas.microsoft.com/office/drawing/2014/chart" uri="{C3380CC4-5D6E-409C-BE32-E72D297353CC}">
              <c16:uniqueId val="{00000002-4876-402F-A0F6-2F27C54EAFD8}"/>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57121340.789999999</c:v>
                </c:pt>
                <c:pt idx="1">
                  <c:v>54919434.43</c:v>
                </c:pt>
                <c:pt idx="2">
                  <c:v>25025378.09</c:v>
                </c:pt>
                <c:pt idx="3">
                  <c:v>46598499.659999996</c:v>
                </c:pt>
                <c:pt idx="4">
                  <c:v>52505587.329999998</c:v>
                </c:pt>
                <c:pt idx="5">
                  <c:v>43812712.109999999</c:v>
                </c:pt>
                <c:pt idx="6">
                  <c:v>28262641.75</c:v>
                </c:pt>
                <c:pt idx="7">
                  <c:v>24798875.129999999</c:v>
                </c:pt>
                <c:pt idx="8">
                  <c:v>39484984.439999998</c:v>
                </c:pt>
                <c:pt idx="9">
                  <c:v>32044528.370000001</c:v>
                </c:pt>
                <c:pt idx="10">
                  <c:v>0</c:v>
                </c:pt>
                <c:pt idx="11">
                  <c:v>0</c:v>
                </c:pt>
              </c:numCache>
            </c:numRef>
          </c:val>
          <c:extLst>
            <c:ext xmlns:c16="http://schemas.microsoft.com/office/drawing/2014/chart" uri="{C3380CC4-5D6E-409C-BE32-E72D297353CC}">
              <c16:uniqueId val="{00000003-4876-402F-A0F6-2F27C54EAFD8}"/>
            </c:ext>
          </c:extLst>
        </c:ser>
        <c:dLbls>
          <c:showLegendKey val="0"/>
          <c:showVal val="0"/>
          <c:showCatName val="0"/>
          <c:showSerName val="0"/>
          <c:showPercent val="0"/>
          <c:showBubbleSize val="0"/>
        </c:dLbls>
        <c:gapWidth val="150"/>
        <c:shape val="box"/>
        <c:axId val="2097130256"/>
        <c:axId val="1"/>
        <c:axId val="0"/>
      </c:bar3DChart>
      <c:catAx>
        <c:axId val="20971302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0684914387"/>
              <c:y val="0.349057205917442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71302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57121340.789999999</c:v>
                </c:pt>
                <c:pt idx="1">
                  <c:v>112040775.22</c:v>
                </c:pt>
                <c:pt idx="2">
                  <c:v>137066153.31</c:v>
                </c:pt>
                <c:pt idx="3">
                  <c:v>183664652.97</c:v>
                </c:pt>
                <c:pt idx="4">
                  <c:v>236170240.30000001</c:v>
                </c:pt>
                <c:pt idx="5">
                  <c:v>279982952.41000003</c:v>
                </c:pt>
                <c:pt idx="6">
                  <c:v>308245594.16000003</c:v>
                </c:pt>
                <c:pt idx="7">
                  <c:v>333044469.29000002</c:v>
                </c:pt>
                <c:pt idx="8">
                  <c:v>372529453.73000002</c:v>
                </c:pt>
                <c:pt idx="9">
                  <c:v>404573982.10000002</c:v>
                </c:pt>
                <c:pt idx="10">
                  <c:v>0</c:v>
                </c:pt>
                <c:pt idx="11">
                  <c:v>0</c:v>
                </c:pt>
              </c:numCache>
            </c:numRef>
          </c:val>
          <c:extLst>
            <c:ext xmlns:c16="http://schemas.microsoft.com/office/drawing/2014/chart" uri="{C3380CC4-5D6E-409C-BE32-E72D297353CC}">
              <c16:uniqueId val="{00000000-B121-4A43-9B67-717DE8A7F8F9}"/>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57121340.789999999</c:v>
                </c:pt>
                <c:pt idx="1">
                  <c:v>112040775.22</c:v>
                </c:pt>
                <c:pt idx="2">
                  <c:v>137066153.31</c:v>
                </c:pt>
                <c:pt idx="3">
                  <c:v>183664652.97</c:v>
                </c:pt>
                <c:pt idx="4">
                  <c:v>236170240.30000001</c:v>
                </c:pt>
                <c:pt idx="5">
                  <c:v>279982952.41000003</c:v>
                </c:pt>
                <c:pt idx="6">
                  <c:v>308245594.16000003</c:v>
                </c:pt>
                <c:pt idx="7">
                  <c:v>371090007.93000001</c:v>
                </c:pt>
                <c:pt idx="8">
                  <c:v>430601972.09000003</c:v>
                </c:pt>
                <c:pt idx="9">
                  <c:v>495245934.40000004</c:v>
                </c:pt>
                <c:pt idx="10">
                  <c:v>561845019.01999998</c:v>
                </c:pt>
                <c:pt idx="11">
                  <c:v>627805200</c:v>
                </c:pt>
              </c:numCache>
            </c:numRef>
          </c:val>
          <c:extLst>
            <c:ext xmlns:c16="http://schemas.microsoft.com/office/drawing/2014/chart" uri="{C3380CC4-5D6E-409C-BE32-E72D297353CC}">
              <c16:uniqueId val="{00000001-B121-4A43-9B67-717DE8A7F8F9}"/>
            </c:ext>
          </c:extLst>
        </c:ser>
        <c:dLbls>
          <c:showLegendKey val="0"/>
          <c:showVal val="0"/>
          <c:showCatName val="0"/>
          <c:showSerName val="0"/>
          <c:showPercent val="0"/>
          <c:showBubbleSize val="0"/>
        </c:dLbls>
        <c:gapWidth val="150"/>
        <c:shape val="box"/>
        <c:axId val="2097131088"/>
        <c:axId val="1"/>
        <c:axId val="0"/>
      </c:bar3DChart>
      <c:catAx>
        <c:axId val="209713108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475637327523E-2"/>
              <c:y val="0.4319260139652355"/>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713108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31" fmlaLink="MuniEntities" fmlaRange="$X$4:$X$5" noThreeD="1" sel="2" val="0"/>
</file>

<file path=xl/ctrlProps/ctrlProp2.xml><?xml version="1.0" encoding="utf-8"?>
<formControlPr xmlns="http://schemas.microsoft.com/office/spreadsheetml/2009/9/main" objectType="Drop" dropLines="2" dropStyle="combo" dx="31" fmlaLink="MuniType" fmlaRange="$X$7:$X$15" noThreeD="1" sel="1" val="0"/>
</file>

<file path=xl/ctrlProps/ctrlProp3.xml><?xml version="1.0" encoding="utf-8"?>
<formControlPr xmlns="http://schemas.microsoft.com/office/spreadsheetml/2009/9/main" objectType="Drop" dropLines="6" dropStyle="combo" dx="31" fmlaLink="$X$35" fmlaRange="$X$19:$X$33" noThreeD="1" sel="12" val="9"/>
</file>

<file path=xl/ctrlProps/ctrlProp4.xml><?xml version="1.0" encoding="utf-8"?>
<formControlPr xmlns="http://schemas.microsoft.com/office/spreadsheetml/2009/9/main" objectType="Drop" dropLines="10" dropStyle="combo" dx="31" fmlaLink="'Lookup and lists'!$B$26" fmlaRange="'Lookup and lists'!$B$28:$B$285" noThreeD="1" sel="114" val="110"/>
</file>

<file path=xl/ctrlProps/ctrlProp5.xml><?xml version="1.0" encoding="utf-8"?>
<formControlPr xmlns="http://schemas.microsoft.com/office/spreadsheetml/2009/9/main" objectType="Drop" dropLines="6" dropStyle="combo" dx="31" fmlaLink="$X$10" fmlaRange="$X$39:$X$55" noThreeD="1" sel="10" val="4"/>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AppData/Local/Microsoft/Return_Forms/Pages/default.aspx" TargetMode="External"/><Relationship Id="rId3" Type="http://schemas.openxmlformats.org/officeDocument/2006/relationships/image" Target="../media/image16.emf"/><Relationship Id="rId7" Type="http://schemas.openxmlformats.org/officeDocument/2006/relationships/hyperlink" Target="../AppData/Local/Microsoft/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AppData/Local/Microsoft/Guidelines/Pages/DummyBudgetGuide.aspx" TargetMode="External"/><Relationship Id="rId5" Type="http://schemas.openxmlformats.org/officeDocument/2006/relationships/hyperlink" Target="../AppData/Local/Microsoft/Windows/INetCache/regulation2012-2013/Documents/Budget%20Format%20Guidelines_%202012_13.pdf" TargetMode="External"/><Relationship Id="rId4" Type="http://schemas.openxmlformats.org/officeDocument/2006/relationships/hyperlink" Target="../AppData/Local/Microsoft/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 name="Group 28">
          <a:extLst>
            <a:ext uri="{FF2B5EF4-FFF2-40B4-BE49-F238E27FC236}">
              <a16:creationId xmlns:a16="http://schemas.microsoft.com/office/drawing/2014/main" id="{00000000-0008-0000-0100-000002000000}"/>
            </a:ext>
          </a:extLst>
        </xdr:cNvPr>
        <xdr:cNvGrpSpPr>
          <a:grpSpLocks/>
        </xdr:cNvGrpSpPr>
      </xdr:nvGrpSpPr>
      <xdr:grpSpPr bwMode="auto">
        <a:xfrm>
          <a:off x="0" y="0"/>
          <a:ext cx="9180576" cy="6519672"/>
          <a:chOff x="0" y="0"/>
          <a:chExt cx="903" cy="672"/>
        </a:xfrm>
      </xdr:grpSpPr>
      <xdr:grpSp>
        <xdr:nvGrpSpPr>
          <xdr:cNvPr id="3" name="Group 1">
            <a:extLst>
              <a:ext uri="{FF2B5EF4-FFF2-40B4-BE49-F238E27FC236}">
                <a16:creationId xmlns:a16="http://schemas.microsoft.com/office/drawing/2014/main" id="{00000000-0008-0000-0100-000003000000}"/>
              </a:ext>
            </a:extLst>
          </xdr:cNvPr>
          <xdr:cNvGrpSpPr>
            <a:grpSpLocks/>
          </xdr:cNvGrpSpPr>
        </xdr:nvGrpSpPr>
        <xdr:grpSpPr bwMode="auto">
          <a:xfrm>
            <a:off x="0" y="0"/>
            <a:ext cx="903" cy="672"/>
            <a:chOff x="0" y="0"/>
            <a:chExt cx="791" cy="672"/>
          </a:xfrm>
        </xdr:grpSpPr>
        <xdr:grpSp>
          <xdr:nvGrpSpPr>
            <xdr:cNvPr id="5" name="Group 2">
              <a:extLst>
                <a:ext uri="{FF2B5EF4-FFF2-40B4-BE49-F238E27FC236}">
                  <a16:creationId xmlns:a16="http://schemas.microsoft.com/office/drawing/2014/main" id="{00000000-0008-0000-0100-000005000000}"/>
                </a:ext>
              </a:extLst>
            </xdr:cNvPr>
            <xdr:cNvGrpSpPr>
              <a:grpSpLocks/>
            </xdr:cNvGrpSpPr>
          </xdr:nvGrpSpPr>
          <xdr:grpSpPr bwMode="auto">
            <a:xfrm>
              <a:off x="0" y="0"/>
              <a:ext cx="791" cy="672"/>
              <a:chOff x="12" y="17"/>
              <a:chExt cx="791" cy="672"/>
            </a:xfrm>
          </xdr:grpSpPr>
          <xdr:pic>
            <xdr:nvPicPr>
              <xdr:cNvPr id="7" name="Picture 3" descr="Untitled-1 copy">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4" descr="1 copy">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Group 5">
                <a:extLst>
                  <a:ext uri="{FF2B5EF4-FFF2-40B4-BE49-F238E27FC236}">
                    <a16:creationId xmlns:a16="http://schemas.microsoft.com/office/drawing/2014/main" id="{00000000-0008-0000-0100-000009000000}"/>
                  </a:ext>
                </a:extLst>
              </xdr:cNvPr>
              <xdr:cNvGrpSpPr>
                <a:grpSpLocks/>
              </xdr:cNvGrpSpPr>
            </xdr:nvGrpSpPr>
            <xdr:grpSpPr bwMode="auto">
              <a:xfrm>
                <a:off x="416" y="255"/>
                <a:ext cx="367" cy="413"/>
                <a:chOff x="416" y="255"/>
                <a:chExt cx="367" cy="413"/>
              </a:xfrm>
            </xdr:grpSpPr>
            <xdr:pic>
              <xdr:nvPicPr>
                <xdr:cNvPr id="14" name="Picture 48" descr="Untitled-4-2">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5" name="Group 7">
                  <a:extLst>
                    <a:ext uri="{FF2B5EF4-FFF2-40B4-BE49-F238E27FC236}">
                      <a16:creationId xmlns:a16="http://schemas.microsoft.com/office/drawing/2014/main" id="{00000000-0008-0000-0100-00000F000000}"/>
                    </a:ext>
                  </a:extLst>
                </xdr:cNvPr>
                <xdr:cNvGrpSpPr>
                  <a:grpSpLocks/>
                </xdr:cNvGrpSpPr>
              </xdr:nvGrpSpPr>
              <xdr:grpSpPr bwMode="auto">
                <a:xfrm>
                  <a:off x="432" y="264"/>
                  <a:ext cx="286" cy="128"/>
                  <a:chOff x="426" y="263"/>
                  <a:chExt cx="290" cy="130"/>
                </a:xfrm>
              </xdr:grpSpPr>
              <xdr:pic>
                <xdr:nvPicPr>
                  <xdr:cNvPr id="17" name="Picture 52" descr="Letter Head">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Line 53">
                    <a:extLst>
                      <a:ext uri="{FF2B5EF4-FFF2-40B4-BE49-F238E27FC236}">
                        <a16:creationId xmlns:a16="http://schemas.microsoft.com/office/drawing/2014/main" id="{00000000-0008-0000-0100-00001200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6" name="Text Box 10">
                  <a:extLst>
                    <a:ext uri="{FF2B5EF4-FFF2-40B4-BE49-F238E27FC236}">
                      <a16:creationId xmlns:a16="http://schemas.microsoft.com/office/drawing/2014/main" id="{00000000-0008-0000-0100-0000100000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Electronic documents: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 name="Group 11">
                <a:extLst>
                  <a:ext uri="{FF2B5EF4-FFF2-40B4-BE49-F238E27FC236}">
                    <a16:creationId xmlns:a16="http://schemas.microsoft.com/office/drawing/2014/main" id="{00000000-0008-0000-0100-00000A000000}"/>
                  </a:ext>
                </a:extLst>
              </xdr:cNvPr>
              <xdr:cNvGrpSpPr>
                <a:grpSpLocks/>
              </xdr:cNvGrpSpPr>
            </xdr:nvGrpSpPr>
            <xdr:grpSpPr bwMode="auto">
              <a:xfrm>
                <a:off x="76" y="364"/>
                <a:ext cx="289" cy="256"/>
                <a:chOff x="76" y="364"/>
                <a:chExt cx="289" cy="256"/>
              </a:xfrm>
            </xdr:grpSpPr>
            <xdr:pic>
              <xdr:nvPicPr>
                <xdr:cNvPr id="11" name="Picture 12" descr="J1c">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Picture 13" descr="J1a">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14" descr="J1b">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6" name="Picture 15" descr="C1b light">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Text Box 27">
            <a:extLst>
              <a:ext uri="{FF2B5EF4-FFF2-40B4-BE49-F238E27FC236}">
                <a16:creationId xmlns:a16="http://schemas.microsoft.com/office/drawing/2014/main" id="{00000000-0008-0000-0100-0000040000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6.8</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83820</xdr:colOff>
      <xdr:row>15</xdr:row>
      <xdr:rowOff>150495</xdr:rowOff>
    </xdr:from>
    <xdr:to>
      <xdr:col>4</xdr:col>
      <xdr:colOff>479925</xdr:colOff>
      <xdr:row>18</xdr:row>
      <xdr:rowOff>161658</xdr:rowOff>
    </xdr:to>
    <xdr:sp macro="[0]!GoToInstructions" textlink="">
      <xdr:nvSpPr>
        <xdr:cNvPr id="19" name="Text Box 26">
          <a:extLst>
            <a:ext uri="{FF2B5EF4-FFF2-40B4-BE49-F238E27FC236}">
              <a16:creationId xmlns:a16="http://schemas.microsoft.com/office/drawing/2014/main" id="{00000000-0008-0000-0100-000013000000}"/>
            </a:ext>
          </a:extLst>
        </xdr:cNvPr>
        <xdr:cNvSpPr txBox="1">
          <a:spLocks noChangeArrowheads="1"/>
        </xdr:cNvSpPr>
      </xdr:nvSpPr>
      <xdr:spPr bwMode="auto">
        <a:xfrm>
          <a:off x="693420" y="2579370"/>
          <a:ext cx="2224905" cy="496938"/>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0.18328</cdr:x>
      <cdr:y>0.01244</cdr:y>
    </cdr:from>
    <cdr:to>
      <cdr:x>0.95011</cdr:x>
      <cdr:y>0.06627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2025/26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222250</xdr:colOff>
      <xdr:row>47</xdr:row>
      <xdr:rowOff>63500</xdr:rowOff>
    </xdr:to>
    <xdr:pic>
      <xdr:nvPicPr>
        <xdr:cNvPr id="1552771" name="Picture 3" descr="Untitled-1 copy">
          <a:extLst>
            <a:ext uri="{FF2B5EF4-FFF2-40B4-BE49-F238E27FC236}">
              <a16:creationId xmlns:a16="http://schemas.microsoft.com/office/drawing/2014/main" id="{00000000-0008-0000-0200-000083B11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7450" cy="752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146050</xdr:colOff>
      <xdr:row>29</xdr:row>
      <xdr:rowOff>76200</xdr:rowOff>
    </xdr:from>
    <xdr:to>
      <xdr:col>6</xdr:col>
      <xdr:colOff>95250</xdr:colOff>
      <xdr:row>46</xdr:row>
      <xdr:rowOff>57150</xdr:rowOff>
    </xdr:to>
    <xdr:pic>
      <xdr:nvPicPr>
        <xdr:cNvPr id="1552772" name="Picture 4" descr="1 copy">
          <a:extLst>
            <a:ext uri="{FF2B5EF4-FFF2-40B4-BE49-F238E27FC236}">
              <a16:creationId xmlns:a16="http://schemas.microsoft.com/office/drawing/2014/main" id="{00000000-0008-0000-0200-000084B11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050" y="4679950"/>
          <a:ext cx="3606800" cy="267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25</xdr:row>
      <xdr:rowOff>100330</xdr:rowOff>
    </xdr:from>
    <xdr:to>
      <xdr:col>11</xdr:col>
      <xdr:colOff>560006</xdr:colOff>
      <xdr:row>28</xdr:row>
      <xdr:rowOff>96732</xdr:rowOff>
    </xdr:to>
    <xdr:sp macro="[0]!GoToOrgstructure" textlink="">
      <xdr:nvSpPr>
        <xdr:cNvPr id="123920" name="Text Box 16">
          <a:extLst>
            <a:ext uri="{FF2B5EF4-FFF2-40B4-BE49-F238E27FC236}">
              <a16:creationId xmlns:a16="http://schemas.microsoft.com/office/drawing/2014/main" id="{00000000-0008-0000-02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171450</xdr:colOff>
      <xdr:row>0</xdr:row>
      <xdr:rowOff>133350</xdr:rowOff>
    </xdr:from>
    <xdr:to>
      <xdr:col>11</xdr:col>
      <xdr:colOff>556260</xdr:colOff>
      <xdr:row>3</xdr:row>
      <xdr:rowOff>121926</xdr:rowOff>
    </xdr:to>
    <xdr:sp macro="" textlink="">
      <xdr:nvSpPr>
        <xdr:cNvPr id="123921" name="Text Box 17">
          <a:extLst>
            <a:ext uri="{FF2B5EF4-FFF2-40B4-BE49-F238E27FC236}">
              <a16:creationId xmlns:a16="http://schemas.microsoft.com/office/drawing/2014/main" id="{00000000-0008-0000-02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79985</xdr:colOff>
      <xdr:row>6</xdr:row>
      <xdr:rowOff>55196</xdr:rowOff>
    </xdr:to>
    <xdr:sp macro="" textlink="">
      <xdr:nvSpPr>
        <xdr:cNvPr id="123923" name="Text Box 19">
          <a:extLst>
            <a:ext uri="{FF2B5EF4-FFF2-40B4-BE49-F238E27FC236}">
              <a16:creationId xmlns:a16="http://schemas.microsoft.com/office/drawing/2014/main" id="{00000000-0008-0000-02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230505</xdr:colOff>
      <xdr:row>16</xdr:row>
      <xdr:rowOff>95250</xdr:rowOff>
    </xdr:from>
    <xdr:to>
      <xdr:col>5</xdr:col>
      <xdr:colOff>127623</xdr:colOff>
      <xdr:row>19</xdr:row>
      <xdr:rowOff>100346</xdr:rowOff>
    </xdr:to>
    <xdr:sp macro="" textlink="">
      <xdr:nvSpPr>
        <xdr:cNvPr id="142343" name="Text Box 22">
          <a:extLst>
            <a:ext uri="{FF2B5EF4-FFF2-40B4-BE49-F238E27FC236}">
              <a16:creationId xmlns:a16="http://schemas.microsoft.com/office/drawing/2014/main" id="{00000000-0008-0000-02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266700</xdr:colOff>
      <xdr:row>16</xdr:row>
      <xdr:rowOff>99060</xdr:rowOff>
    </xdr:from>
    <xdr:to>
      <xdr:col>9</xdr:col>
      <xdr:colOff>476125</xdr:colOff>
      <xdr:row>19</xdr:row>
      <xdr:rowOff>110822</xdr:rowOff>
    </xdr:to>
    <xdr:sp macro="" textlink="">
      <xdr:nvSpPr>
        <xdr:cNvPr id="142344" name="Text Box 24">
          <a:extLst>
            <a:ext uri="{FF2B5EF4-FFF2-40B4-BE49-F238E27FC236}">
              <a16:creationId xmlns:a16="http://schemas.microsoft.com/office/drawing/2014/main" id="{00000000-0008-0000-02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171450</xdr:colOff>
      <xdr:row>19</xdr:row>
      <xdr:rowOff>55245</xdr:rowOff>
    </xdr:from>
    <xdr:to>
      <xdr:col>5</xdr:col>
      <xdr:colOff>43852</xdr:colOff>
      <xdr:row>22</xdr:row>
      <xdr:rowOff>76237</xdr:rowOff>
    </xdr:to>
    <xdr:sp macro="" textlink="">
      <xdr:nvSpPr>
        <xdr:cNvPr id="123929" name="Text Box 25">
          <a:extLst>
            <a:ext uri="{FF2B5EF4-FFF2-40B4-BE49-F238E27FC236}">
              <a16:creationId xmlns:a16="http://schemas.microsoft.com/office/drawing/2014/main" id="{00000000-0008-0000-02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171450</xdr:colOff>
      <xdr:row>22</xdr:row>
      <xdr:rowOff>99060</xdr:rowOff>
    </xdr:from>
    <xdr:to>
      <xdr:col>5</xdr:col>
      <xdr:colOff>43852</xdr:colOff>
      <xdr:row>24</xdr:row>
      <xdr:rowOff>137002</xdr:rowOff>
    </xdr:to>
    <xdr:sp macro="" textlink="">
      <xdr:nvSpPr>
        <xdr:cNvPr id="123930" name="Text Box 26">
          <a:extLst>
            <a:ext uri="{FF2B5EF4-FFF2-40B4-BE49-F238E27FC236}">
              <a16:creationId xmlns:a16="http://schemas.microsoft.com/office/drawing/2014/main" id="{00000000-0008-0000-02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194310</xdr:colOff>
      <xdr:row>7</xdr:row>
      <xdr:rowOff>0</xdr:rowOff>
    </xdr:from>
    <xdr:to>
      <xdr:col>5</xdr:col>
      <xdr:colOff>83795</xdr:colOff>
      <xdr:row>8</xdr:row>
      <xdr:rowOff>135135</xdr:rowOff>
    </xdr:to>
    <xdr:sp macro="" textlink="">
      <xdr:nvSpPr>
        <xdr:cNvPr id="123943" name="Text Box 39">
          <a:extLst>
            <a:ext uri="{FF2B5EF4-FFF2-40B4-BE49-F238E27FC236}">
              <a16:creationId xmlns:a16="http://schemas.microsoft.com/office/drawing/2014/main" id="{00000000-0008-0000-02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424815</xdr:colOff>
      <xdr:row>9</xdr:row>
      <xdr:rowOff>55245</xdr:rowOff>
    </xdr:from>
    <xdr:to>
      <xdr:col>5</xdr:col>
      <xdr:colOff>83685</xdr:colOff>
      <xdr:row>11</xdr:row>
      <xdr:rowOff>22253</xdr:rowOff>
    </xdr:to>
    <xdr:sp macro="" textlink="">
      <xdr:nvSpPr>
        <xdr:cNvPr id="123944" name="Text Box 40">
          <a:extLst>
            <a:ext uri="{FF2B5EF4-FFF2-40B4-BE49-F238E27FC236}">
              <a16:creationId xmlns:a16="http://schemas.microsoft.com/office/drawing/2014/main" id="{00000000-0008-0000-02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222885</xdr:colOff>
      <xdr:row>11</xdr:row>
      <xdr:rowOff>119380</xdr:rowOff>
    </xdr:from>
    <xdr:to>
      <xdr:col>5</xdr:col>
      <xdr:colOff>95287</xdr:colOff>
      <xdr:row>13</xdr:row>
      <xdr:rowOff>110652</xdr:rowOff>
    </xdr:to>
    <xdr:sp macro="" textlink="">
      <xdr:nvSpPr>
        <xdr:cNvPr id="123945" name="Text Box 41">
          <a:extLst>
            <a:ext uri="{FF2B5EF4-FFF2-40B4-BE49-F238E27FC236}">
              <a16:creationId xmlns:a16="http://schemas.microsoft.com/office/drawing/2014/main" id="{00000000-0008-0000-02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3810</xdr:colOff>
      <xdr:row>9</xdr:row>
      <xdr:rowOff>56515</xdr:rowOff>
    </xdr:from>
    <xdr:to>
      <xdr:col>8</xdr:col>
      <xdr:colOff>557903</xdr:colOff>
      <xdr:row>11</xdr:row>
      <xdr:rowOff>45271</xdr:rowOff>
    </xdr:to>
    <xdr:sp macro="" textlink="">
      <xdr:nvSpPr>
        <xdr:cNvPr id="123949" name="Text Box 45">
          <a:extLst>
            <a:ext uri="{FF2B5EF4-FFF2-40B4-BE49-F238E27FC236}">
              <a16:creationId xmlns:a16="http://schemas.microsoft.com/office/drawing/2014/main" id="{00000000-0008-0000-02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133350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2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57150</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2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66675</xdr:rowOff>
        </xdr:from>
        <xdr:to>
          <xdr:col>7</xdr:col>
          <xdr:colOff>247650</xdr:colOff>
          <xdr:row>18</xdr:row>
          <xdr:rowOff>152400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2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577850</xdr:colOff>
          <xdr:row>17</xdr:row>
          <xdr:rowOff>31750</xdr:rowOff>
        </xdr:from>
        <xdr:to>
          <xdr:col>11</xdr:col>
          <xdr:colOff>463550</xdr:colOff>
          <xdr:row>19</xdr:row>
          <xdr:rowOff>31750</xdr:rowOff>
        </xdr:to>
        <xdr:pic>
          <xdr:nvPicPr>
            <xdr:cNvPr id="1552784" name="TextBox2">
              <a:extLst>
                <a:ext uri="{FF2B5EF4-FFF2-40B4-BE49-F238E27FC236}">
                  <a16:creationId xmlns:a16="http://schemas.microsoft.com/office/drawing/2014/main" id="{00000000-0008-0000-0200-000090B11700}"/>
                </a:ext>
              </a:extLst>
            </xdr:cNvPr>
            <xdr:cNvPicPr preferRelativeResize="0">
              <a:picLocks noChangeArrowheads="1" noChangeShapeType="1"/>
              <a:extLst>
                <a:ext uri="{84589F7E-364E-4C9E-8A38-B11213B215E9}">
                  <a14:cameraTool cellRange="FinYear" spid="_x0000_s1669207"/>
                </a:ext>
              </a:extLst>
            </xdr:cNvPicPr>
          </xdr:nvPicPr>
          <xdr:blipFill>
            <a:blip xmlns:r="http://schemas.openxmlformats.org/officeDocument/2006/relationships" r:embed="rId3">
              <a:grayscl/>
              <a:biLevel thresh="50000"/>
            </a:blip>
            <a:srcRect/>
            <a:stretch>
              <a:fillRect/>
            </a:stretch>
          </xdr:blipFill>
          <xdr:spPr bwMode="auto">
            <a:xfrm>
              <a:off x="6064250" y="2730500"/>
              <a:ext cx="1104900" cy="317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57150</xdr:rowOff>
        </xdr:from>
        <xdr:to>
          <xdr:col>11</xdr:col>
          <xdr:colOff>247650</xdr:colOff>
          <xdr:row>8</xdr:row>
          <xdr:rowOff>152400</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2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133350</xdr:rowOff>
        </xdr:from>
        <xdr:to>
          <xdr:col>7</xdr:col>
          <xdr:colOff>552450</xdr:colOff>
          <xdr:row>11</xdr:row>
          <xdr:rowOff>66675</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2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2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152400</xdr:rowOff>
        </xdr:from>
        <xdr:to>
          <xdr:col>11</xdr:col>
          <xdr:colOff>257175</xdr:colOff>
          <xdr:row>11</xdr:row>
          <xdr:rowOff>85725</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2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133350</xdr:rowOff>
        </xdr:from>
        <xdr:to>
          <xdr:col>5</xdr:col>
          <xdr:colOff>133350</xdr:colOff>
          <xdr:row>37</xdr:row>
          <xdr:rowOff>133350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2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57150</xdr:rowOff>
        </xdr:from>
        <xdr:to>
          <xdr:col>5</xdr:col>
          <xdr:colOff>133350</xdr:colOff>
          <xdr:row>40</xdr:row>
          <xdr:rowOff>47625</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2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19050</xdr:rowOff>
        </xdr:from>
        <xdr:to>
          <xdr:col>5</xdr:col>
          <xdr:colOff>133350</xdr:colOff>
          <xdr:row>45</xdr:row>
          <xdr:rowOff>19050</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2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99060</xdr:colOff>
      <xdr:row>14</xdr:row>
      <xdr:rowOff>40005</xdr:rowOff>
    </xdr:from>
    <xdr:to>
      <xdr:col>5</xdr:col>
      <xdr:colOff>127700</xdr:colOff>
      <xdr:row>17</xdr:row>
      <xdr:rowOff>45101</xdr:rowOff>
    </xdr:to>
    <xdr:sp macro="" textlink="">
      <xdr:nvSpPr>
        <xdr:cNvPr id="142365" name="Text Box 24">
          <a:extLst>
            <a:ext uri="{FF2B5EF4-FFF2-40B4-BE49-F238E27FC236}">
              <a16:creationId xmlns:a16="http://schemas.microsoft.com/office/drawing/2014/main" id="{00000000-0008-0000-02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135255</xdr:colOff>
      <xdr:row>29</xdr:row>
      <xdr:rowOff>100329</xdr:rowOff>
    </xdr:from>
    <xdr:to>
      <xdr:col>6</xdr:col>
      <xdr:colOff>55265</xdr:colOff>
      <xdr:row>33</xdr:row>
      <xdr:rowOff>26097</xdr:rowOff>
    </xdr:to>
    <xdr:sp macro="" textlink="">
      <xdr:nvSpPr>
        <xdr:cNvPr id="142367" name="Text Box 18">
          <a:extLst>
            <a:ext uri="{FF2B5EF4-FFF2-40B4-BE49-F238E27FC236}">
              <a16:creationId xmlns:a16="http://schemas.microsoft.com/office/drawing/2014/main" id="{00000000-0008-0000-02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3810</xdr:colOff>
      <xdr:row>33</xdr:row>
      <xdr:rowOff>76200</xdr:rowOff>
    </xdr:from>
    <xdr:to>
      <xdr:col>5</xdr:col>
      <xdr:colOff>245759</xdr:colOff>
      <xdr:row>35</xdr:row>
      <xdr:rowOff>110693</xdr:rowOff>
    </xdr:to>
    <xdr:sp macro="" textlink="">
      <xdr:nvSpPr>
        <xdr:cNvPr id="142369" name="Text Box 33">
          <a:extLst>
            <a:ext uri="{FF2B5EF4-FFF2-40B4-BE49-F238E27FC236}">
              <a16:creationId xmlns:a16="http://schemas.microsoft.com/office/drawing/2014/main" id="{00000000-0008-0000-02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480060</xdr:colOff>
      <xdr:row>40</xdr:row>
      <xdr:rowOff>132715</xdr:rowOff>
    </xdr:from>
    <xdr:to>
      <xdr:col>5</xdr:col>
      <xdr:colOff>464820</xdr:colOff>
      <xdr:row>42</xdr:row>
      <xdr:rowOff>134482</xdr:rowOff>
    </xdr:to>
    <xdr:sp macro="" textlink="">
      <xdr:nvSpPr>
        <xdr:cNvPr id="142370" name="Text Box 34">
          <a:extLst>
            <a:ext uri="{FF2B5EF4-FFF2-40B4-BE49-F238E27FC236}">
              <a16:creationId xmlns:a16="http://schemas.microsoft.com/office/drawing/2014/main" id="{00000000-0008-0000-02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247650</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2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247650</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2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146050</xdr:colOff>
      <xdr:row>46</xdr:row>
      <xdr:rowOff>63500</xdr:rowOff>
    </xdr:to>
    <xdr:pic>
      <xdr:nvPicPr>
        <xdr:cNvPr id="1552789" name="Picture 4" descr="1 copy">
          <a:extLst>
            <a:ext uri="{FF2B5EF4-FFF2-40B4-BE49-F238E27FC236}">
              <a16:creationId xmlns:a16="http://schemas.microsoft.com/office/drawing/2014/main" id="{00000000-0008-0000-0200-000095B11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679950"/>
          <a:ext cx="3670300"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171451</xdr:colOff>
      <xdr:row>29</xdr:row>
      <xdr:rowOff>80009</xdr:rowOff>
    </xdr:from>
    <xdr:to>
      <xdr:col>12</xdr:col>
      <xdr:colOff>80006</xdr:colOff>
      <xdr:row>33</xdr:row>
      <xdr:rowOff>5697</xdr:rowOff>
    </xdr:to>
    <xdr:sp macro="" textlink="">
      <xdr:nvSpPr>
        <xdr:cNvPr id="38" name="Text Box 18">
          <a:extLst>
            <a:ext uri="{FF2B5EF4-FFF2-40B4-BE49-F238E27FC236}">
              <a16:creationId xmlns:a16="http://schemas.microsoft.com/office/drawing/2014/main" id="{00000000-0008-0000-02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318135</xdr:colOff>
      <xdr:row>33</xdr:row>
      <xdr:rowOff>56515</xdr:rowOff>
    </xdr:from>
    <xdr:to>
      <xdr:col>10</xdr:col>
      <xdr:colOff>234376</xdr:colOff>
      <xdr:row>35</xdr:row>
      <xdr:rowOff>119981</xdr:rowOff>
    </xdr:to>
    <xdr:sp macro="" textlink="">
      <xdr:nvSpPr>
        <xdr:cNvPr id="40" name="Text Box 33">
          <a:extLst>
            <a:ext uri="{FF2B5EF4-FFF2-40B4-BE49-F238E27FC236}">
              <a16:creationId xmlns:a16="http://schemas.microsoft.com/office/drawing/2014/main" id="{00000000-0008-0000-02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318135</xdr:colOff>
      <xdr:row>38</xdr:row>
      <xdr:rowOff>76200</xdr:rowOff>
    </xdr:from>
    <xdr:to>
      <xdr:col>10</xdr:col>
      <xdr:colOff>234376</xdr:colOff>
      <xdr:row>40</xdr:row>
      <xdr:rowOff>96731</xdr:rowOff>
    </xdr:to>
    <xdr:sp macro="" textlink="">
      <xdr:nvSpPr>
        <xdr:cNvPr id="45" name="Text Box 33">
          <a:extLst>
            <a:ext uri="{FF2B5EF4-FFF2-40B4-BE49-F238E27FC236}">
              <a16:creationId xmlns:a16="http://schemas.microsoft.com/office/drawing/2014/main" id="{00000000-0008-0000-02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289560</xdr:colOff>
      <xdr:row>41</xdr:row>
      <xdr:rowOff>0</xdr:rowOff>
    </xdr:from>
    <xdr:to>
      <xdr:col>10</xdr:col>
      <xdr:colOff>230499</xdr:colOff>
      <xdr:row>43</xdr:row>
      <xdr:rowOff>45097</xdr:rowOff>
    </xdr:to>
    <xdr:sp macro="" textlink="">
      <xdr:nvSpPr>
        <xdr:cNvPr id="46" name="Text Box 33">
          <a:extLst>
            <a:ext uri="{FF2B5EF4-FFF2-40B4-BE49-F238E27FC236}">
              <a16:creationId xmlns:a16="http://schemas.microsoft.com/office/drawing/2014/main" id="{00000000-0008-0000-02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289560</xdr:colOff>
      <xdr:row>43</xdr:row>
      <xdr:rowOff>78105</xdr:rowOff>
    </xdr:from>
    <xdr:to>
      <xdr:col>10</xdr:col>
      <xdr:colOff>230499</xdr:colOff>
      <xdr:row>45</xdr:row>
      <xdr:rowOff>121995</xdr:rowOff>
    </xdr:to>
    <xdr:sp macro="" textlink="">
      <xdr:nvSpPr>
        <xdr:cNvPr id="47" name="Text Box 33">
          <a:extLst>
            <a:ext uri="{FF2B5EF4-FFF2-40B4-BE49-F238E27FC236}">
              <a16:creationId xmlns:a16="http://schemas.microsoft.com/office/drawing/2014/main" id="{00000000-0008-0000-02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318135</xdr:colOff>
      <xdr:row>36</xdr:row>
      <xdr:rowOff>3810</xdr:rowOff>
    </xdr:from>
    <xdr:to>
      <xdr:col>10</xdr:col>
      <xdr:colOff>234376</xdr:colOff>
      <xdr:row>38</xdr:row>
      <xdr:rowOff>55345</xdr:rowOff>
    </xdr:to>
    <xdr:sp macro="" textlink="">
      <xdr:nvSpPr>
        <xdr:cNvPr id="48" name="Text Box 33">
          <a:extLst>
            <a:ext uri="{FF2B5EF4-FFF2-40B4-BE49-F238E27FC236}">
              <a16:creationId xmlns:a16="http://schemas.microsoft.com/office/drawing/2014/main" id="{00000000-0008-0000-02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516255</xdr:colOff>
      <xdr:row>33</xdr:row>
      <xdr:rowOff>45085</xdr:rowOff>
    </xdr:from>
    <xdr:to>
      <xdr:col>12</xdr:col>
      <xdr:colOff>95434</xdr:colOff>
      <xdr:row>35</xdr:row>
      <xdr:rowOff>95474</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2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100330</xdr:rowOff>
    </xdr:from>
    <xdr:to>
      <xdr:col>12</xdr:col>
      <xdr:colOff>84004</xdr:colOff>
      <xdr:row>37</xdr:row>
      <xdr:rowOff>150853</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2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37</xdr:row>
      <xdr:rowOff>150495</xdr:rowOff>
    </xdr:from>
    <xdr:to>
      <xdr:col>12</xdr:col>
      <xdr:colOff>127143</xdr:colOff>
      <xdr:row>40</xdr:row>
      <xdr:rowOff>39870</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2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40</xdr:row>
      <xdr:rowOff>95250</xdr:rowOff>
    </xdr:from>
    <xdr:to>
      <xdr:col>12</xdr:col>
      <xdr:colOff>127143</xdr:colOff>
      <xdr:row>42</xdr:row>
      <xdr:rowOff>132886</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2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43</xdr:row>
      <xdr:rowOff>76200</xdr:rowOff>
    </xdr:from>
    <xdr:to>
      <xdr:col>12</xdr:col>
      <xdr:colOff>127143</xdr:colOff>
      <xdr:row>45</xdr:row>
      <xdr:rowOff>110693</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2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171450</xdr:colOff>
          <xdr:row>2</xdr:row>
          <xdr:rowOff>104775</xdr:rowOff>
        </xdr:from>
        <xdr:to>
          <xdr:col>4</xdr:col>
          <xdr:colOff>1971675</xdr:colOff>
          <xdr:row>4</xdr:row>
          <xdr:rowOff>104775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3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535940</xdr:colOff>
      <xdr:row>0</xdr:row>
      <xdr:rowOff>26035</xdr:rowOff>
    </xdr:from>
    <xdr:to>
      <xdr:col>2</xdr:col>
      <xdr:colOff>3333831</xdr:colOff>
      <xdr:row>0</xdr:row>
      <xdr:rowOff>434879</xdr:rowOff>
    </xdr:to>
    <xdr:sp macro="" textlink="">
      <xdr:nvSpPr>
        <xdr:cNvPr id="2" name="Text Box 18">
          <a:extLst>
            <a:ext uri="{FF2B5EF4-FFF2-40B4-BE49-F238E27FC236}">
              <a16:creationId xmlns:a16="http://schemas.microsoft.com/office/drawing/2014/main" id="{00000000-0008-0000-05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3810</xdr:rowOff>
    </xdr:from>
    <xdr:to>
      <xdr:col>1</xdr:col>
      <xdr:colOff>0</xdr:colOff>
      <xdr:row>0</xdr:row>
      <xdr:rowOff>436331</xdr:rowOff>
    </xdr:to>
    <xdr:sp macro="" textlink="">
      <xdr:nvSpPr>
        <xdr:cNvPr id="3" name="Text Box 18">
          <a:extLst>
            <a:ext uri="{FF2B5EF4-FFF2-40B4-BE49-F238E27FC236}">
              <a16:creationId xmlns:a16="http://schemas.microsoft.com/office/drawing/2014/main" id="{00000000-0008-0000-05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441143</xdr:rowOff>
    </xdr:to>
    <xdr:sp macro="" textlink="">
      <xdr:nvSpPr>
        <xdr:cNvPr id="4" name="Text Box 18">
          <a:extLst>
            <a:ext uri="{FF2B5EF4-FFF2-40B4-BE49-F238E27FC236}">
              <a16:creationId xmlns:a16="http://schemas.microsoft.com/office/drawing/2014/main" id="{00000000-0008-0000-05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527050</xdr:colOff>
      <xdr:row>0</xdr:row>
      <xdr:rowOff>425450</xdr:rowOff>
    </xdr:to>
    <xdr:sp macro="" textlink="">
      <xdr:nvSpPr>
        <xdr:cNvPr id="1045929" name="Text Box 18">
          <a:extLst>
            <a:ext uri="{FF2B5EF4-FFF2-40B4-BE49-F238E27FC236}">
              <a16:creationId xmlns:a16="http://schemas.microsoft.com/office/drawing/2014/main" id="{00000000-0008-0000-0500-0000A9F50F00}"/>
            </a:ext>
          </a:extLst>
        </xdr:cNvPr>
        <xdr:cNvSpPr txBox="1">
          <a:spLocks noChangeArrowheads="1"/>
        </xdr:cNvSpPr>
      </xdr:nvSpPr>
      <xdr:spPr bwMode="auto">
        <a:xfrm>
          <a:off x="2622550" y="0"/>
          <a:ext cx="527050" cy="4254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12700</xdr:colOff>
      <xdr:row>74</xdr:row>
      <xdr:rowOff>120650</xdr:rowOff>
    </xdr:to>
    <xdr:graphicFrame macro="">
      <xdr:nvGraphicFramePr>
        <xdr:cNvPr id="1047054" name="Chart 2">
          <a:extLst>
            <a:ext uri="{FF2B5EF4-FFF2-40B4-BE49-F238E27FC236}">
              <a16:creationId xmlns:a16="http://schemas.microsoft.com/office/drawing/2014/main" id="{00000000-0008-0000-3800-00000EFA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6350</xdr:rowOff>
    </xdr:from>
    <xdr:to>
      <xdr:col>20</xdr:col>
      <xdr:colOff>0</xdr:colOff>
      <xdr:row>100</xdr:row>
      <xdr:rowOff>0</xdr:rowOff>
    </xdr:to>
    <xdr:graphicFrame macro="">
      <xdr:nvGraphicFramePr>
        <xdr:cNvPr id="1047055" name="Chart 3">
          <a:extLst>
            <a:ext uri="{FF2B5EF4-FFF2-40B4-BE49-F238E27FC236}">
              <a16:creationId xmlns:a16="http://schemas.microsoft.com/office/drawing/2014/main" id="{00000000-0008-0000-3800-00000FFA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12700</xdr:colOff>
      <xdr:row>125</xdr:row>
      <xdr:rowOff>0</xdr:rowOff>
    </xdr:to>
    <xdr:graphicFrame macro="">
      <xdr:nvGraphicFramePr>
        <xdr:cNvPr id="1047056" name="Chart 4">
          <a:extLst>
            <a:ext uri="{FF2B5EF4-FFF2-40B4-BE49-F238E27FC236}">
              <a16:creationId xmlns:a16="http://schemas.microsoft.com/office/drawing/2014/main" id="{00000000-0008-0000-3800-000010FA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628650</xdr:colOff>
      <xdr:row>24</xdr:row>
      <xdr:rowOff>120650</xdr:rowOff>
    </xdr:to>
    <xdr:graphicFrame macro="">
      <xdr:nvGraphicFramePr>
        <xdr:cNvPr id="1047057" name="Chart 5">
          <a:extLst>
            <a:ext uri="{FF2B5EF4-FFF2-40B4-BE49-F238E27FC236}">
              <a16:creationId xmlns:a16="http://schemas.microsoft.com/office/drawing/2014/main" id="{00000000-0008-0000-3800-000011FA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127000</xdr:rowOff>
    </xdr:from>
    <xdr:to>
      <xdr:col>20</xdr:col>
      <xdr:colOff>0</xdr:colOff>
      <xdr:row>49</xdr:row>
      <xdr:rowOff>127000</xdr:rowOff>
    </xdr:to>
    <xdr:graphicFrame macro="">
      <xdr:nvGraphicFramePr>
        <xdr:cNvPr id="1047058" name="Chart 6">
          <a:extLst>
            <a:ext uri="{FF2B5EF4-FFF2-40B4-BE49-F238E27FC236}">
              <a16:creationId xmlns:a16="http://schemas.microsoft.com/office/drawing/2014/main" id="{00000000-0008-0000-3800-000012FA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0.07572</cdr:x>
      <cdr:y>0.01273</cdr:y>
    </cdr:from>
    <cdr:to>
      <cdr:x>0.97105</cdr:x>
      <cdr:y>0.06874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0.05456</cdr:x>
      <cdr:y>0.01295</cdr:y>
    </cdr:from>
    <cdr:to>
      <cdr:x>0.98629</cdr:x>
      <cdr:y>0.06485</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0.1343</cdr:x>
      <cdr:y>0.01276</cdr:y>
    </cdr:from>
    <cdr:to>
      <cdr:x>0.91591</cdr:x>
      <cdr:y>0.08073</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0.16826</cdr:x>
      <cdr:y>0.01297</cdr:y>
    </cdr:from>
    <cdr:to>
      <cdr:x>0.90532</cdr:x>
      <cdr:y>0.068</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2025/26 Capital Expenditure Monthly Trend: actual v target</a:t>
          </a:fld>
          <a:endParaRPr lang="en-GB" sz="1200" b="1" i="0" u="none" strike="noStrike" baseline="0">
            <a:solidFill>
              <a:srgbClr val="000000"/>
            </a:solidFill>
            <a:latin typeface="Arial Narrow"/>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customProperty" Target="../customProperty14.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customProperty" Target="../customProperty19.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customProperty" Target="../customProperty22.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customProperty" Target="../customProperty2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4.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customProperty" Target="../customProperty28.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customProperty" Target="../customProperty31.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customProperty" Target="../customProperty3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customProperty" Target="../customProperty39.bin"/></Relationships>
</file>

<file path=xl/worksheets/_rels/sheet3.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control" Target="../activeX/activeX5.xml"/><Relationship Id="rId18" Type="http://schemas.openxmlformats.org/officeDocument/2006/relationships/image" Target="../media/image15.emf"/><Relationship Id="rId3" Type="http://schemas.openxmlformats.org/officeDocument/2006/relationships/drawing" Target="../drawings/drawing2.xml"/><Relationship Id="rId21" Type="http://schemas.openxmlformats.org/officeDocument/2006/relationships/ctrlProp" Target="../ctrlProps/ctrlProp3.xml"/><Relationship Id="rId7" Type="http://schemas.openxmlformats.org/officeDocument/2006/relationships/control" Target="../activeX/activeX2.xml"/><Relationship Id="rId12" Type="http://schemas.openxmlformats.org/officeDocument/2006/relationships/image" Target="../media/image12.emf"/><Relationship Id="rId17" Type="http://schemas.openxmlformats.org/officeDocument/2006/relationships/control" Target="../activeX/activeX7.xml"/><Relationship Id="rId2" Type="http://schemas.openxmlformats.org/officeDocument/2006/relationships/customProperty" Target="../customProperty5.bin"/><Relationship Id="rId16" Type="http://schemas.openxmlformats.org/officeDocument/2006/relationships/image" Target="../media/image14.emf"/><Relationship Id="rId20" Type="http://schemas.openxmlformats.org/officeDocument/2006/relationships/ctrlProp" Target="../ctrlProps/ctrlProp2.xml"/><Relationship Id="rId1" Type="http://schemas.openxmlformats.org/officeDocument/2006/relationships/printerSettings" Target="../printerSettings/printerSettings2.bin"/><Relationship Id="rId6" Type="http://schemas.openxmlformats.org/officeDocument/2006/relationships/image" Target="../media/image9.emf"/><Relationship Id="rId11" Type="http://schemas.openxmlformats.org/officeDocument/2006/relationships/control" Target="../activeX/activeX4.xml"/><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trlProp" Target="../ctrlProps/ctrlProp5.xml"/><Relationship Id="rId10" Type="http://schemas.openxmlformats.org/officeDocument/2006/relationships/image" Target="../media/image11.emf"/><Relationship Id="rId19"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13.emf"/><Relationship Id="rId22"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customProperty" Target="../customProperty42.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customProperty" Target="../customProperty45.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customProperty" Target="../customProperty47.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customProperty" Target="../customProperty5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customProperty" Target="../customProperty55.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customProperty" Target="../customProperty60.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customProperty" Target="../customProperty63.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customProperty" Target="../customProperty66.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ustomProperty" Target="../customProperty69.bin"/><Relationship Id="rId2" Type="http://schemas.openxmlformats.org/officeDocument/2006/relationships/customProperty" Target="../customProperty68.bin"/><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customProperty" Target="../customProperty70.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customProperty" Target="../customProperty7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customProperty" Target="../customProperty76.bin"/></Relationships>
</file>

<file path=xl/worksheets/_rels/sheet56.xml.rels><?xml version="1.0" encoding="UTF-8" standalone="yes"?>
<Relationships xmlns="http://schemas.openxmlformats.org/package/2006/relationships"><Relationship Id="rId1" Type="http://schemas.openxmlformats.org/officeDocument/2006/relationships/customProperty" Target="../customProperty78.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9.bin"/><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8.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6.bin"/><Relationship Id="rId1" Type="http://schemas.openxmlformats.org/officeDocument/2006/relationships/hyperlink" Target="mailto:SwartGM@umhlathuze.gov.za" TargetMode="External"/></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customProperties>
    <customPr name="_pios_id" r:id="rId1"/>
    <customPr name="CofWorksheetType" r:id="rId2"/>
    <customPr name="serializedData2"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sheetPr>
  <dimension ref="A1:R94"/>
  <sheetViews>
    <sheetView showGridLines="0" zoomScaleNormal="100" workbookViewId="0">
      <pane xSplit="2" ySplit="4" topLeftCell="C5" activePane="bottomRight" state="frozen"/>
      <selection pane="topRight"/>
      <selection pane="bottomLeft"/>
      <selection pane="bottomRight" activeCell="C49" sqref="C49:K49"/>
    </sheetView>
  </sheetViews>
  <sheetFormatPr defaultColWidth="9.28515625" defaultRowHeight="12.75" x14ac:dyDescent="0.25"/>
  <cols>
    <col min="1" max="1" width="32.7109375" style="21" customWidth="1"/>
    <col min="2" max="2" width="3.5703125" style="47" customWidth="1"/>
    <col min="3" max="8" width="8.7109375" style="21" customWidth="1"/>
    <col min="9" max="10" width="6.7109375" style="21" customWidth="1"/>
    <col min="11" max="11" width="8.7109375" style="21" customWidth="1"/>
    <col min="12" max="12" width="9.7109375" style="21" customWidth="1"/>
    <col min="13" max="14" width="9.5703125" style="21" customWidth="1"/>
    <col min="15" max="16" width="21.42578125" style="21" bestFit="1" customWidth="1"/>
    <col min="17" max="17" width="11.7109375" style="21" bestFit="1" customWidth="1"/>
    <col min="18" max="18" width="9.5703125" style="21" customWidth="1"/>
    <col min="19" max="19" width="9.7109375" style="21" customWidth="1"/>
    <col min="20" max="20" width="9.28515625" style="21"/>
    <col min="21" max="21" width="9.5703125" style="21" bestFit="1" customWidth="1"/>
    <col min="22" max="16384" width="9.28515625" style="21"/>
  </cols>
  <sheetData>
    <row r="1" spans="1:18" ht="13.5" x14ac:dyDescent="0.25">
      <c r="A1" s="839" t="str">
        <f>muni&amp; " - "&amp;S71A&amp; " - "&amp;date</f>
        <v>KZN282 uMhlathuze - Table C2 Monthly Budget Statement - Financial Performance (functional classification) - M10 April</v>
      </c>
      <c r="B1" s="839"/>
      <c r="C1" s="839"/>
      <c r="D1" s="839"/>
      <c r="E1" s="839"/>
      <c r="F1" s="839"/>
      <c r="G1" s="839"/>
      <c r="H1" s="839"/>
      <c r="I1" s="839"/>
      <c r="J1" s="839"/>
      <c r="K1" s="839"/>
    </row>
    <row r="2" spans="1:18" x14ac:dyDescent="0.25">
      <c r="A2" s="837" t="str">
        <f>desc</f>
        <v>Description</v>
      </c>
      <c r="B2" s="835" t="str">
        <f>head27</f>
        <v>Ref</v>
      </c>
      <c r="C2" s="20" t="str">
        <f>Head1</f>
        <v>2023/24</v>
      </c>
      <c r="D2" s="126" t="str">
        <f>Head2</f>
        <v>Budget Year 2024/25</v>
      </c>
      <c r="E2" s="124"/>
      <c r="F2" s="124"/>
      <c r="G2" s="124"/>
      <c r="H2" s="124"/>
      <c r="I2" s="124"/>
      <c r="J2" s="124"/>
      <c r="K2" s="125"/>
    </row>
    <row r="3" spans="1:18" ht="25.5" x14ac:dyDescent="0.25">
      <c r="A3" s="838"/>
      <c r="B3" s="836"/>
      <c r="C3" s="23" t="str">
        <f>Head5</f>
        <v>Audited Outcome</v>
      </c>
      <c r="D3" s="80" t="str">
        <f>Head6</f>
        <v>Original Budget</v>
      </c>
      <c r="E3" s="22" t="str">
        <f>Head7</f>
        <v>Adjusted Budget</v>
      </c>
      <c r="F3" s="22" t="str">
        <f>Head38</f>
        <v>Monthly actual</v>
      </c>
      <c r="G3" s="22" t="str">
        <f>Head39</f>
        <v>YearTD actual</v>
      </c>
      <c r="H3" s="22" t="str">
        <f>Head40</f>
        <v>YearTD budget</v>
      </c>
      <c r="I3" s="22" t="str">
        <f>Head41</f>
        <v>YTD variance</v>
      </c>
      <c r="J3" s="122" t="str">
        <f>Head41</f>
        <v>YTD variance</v>
      </c>
      <c r="K3" s="95" t="str">
        <f>Head8</f>
        <v>Full Year Forecast</v>
      </c>
    </row>
    <row r="4" spans="1:18" x14ac:dyDescent="0.25">
      <c r="A4" s="28" t="s">
        <v>615</v>
      </c>
      <c r="B4" s="196">
        <v>1</v>
      </c>
      <c r="C4" s="195"/>
      <c r="D4" s="134"/>
      <c r="E4" s="135"/>
      <c r="F4" s="57"/>
      <c r="G4" s="57"/>
      <c r="H4" s="57"/>
      <c r="I4" s="57"/>
      <c r="J4" s="136" t="s">
        <v>528</v>
      </c>
      <c r="K4" s="120"/>
    </row>
    <row r="5" spans="1:18" ht="12.75" customHeight="1" x14ac:dyDescent="0.25">
      <c r="A5" s="29" t="s">
        <v>1039</v>
      </c>
      <c r="B5" s="197"/>
      <c r="C5" s="121"/>
      <c r="D5" s="201"/>
      <c r="E5" s="132"/>
      <c r="F5" s="132"/>
      <c r="G5" s="132"/>
      <c r="H5" s="132"/>
      <c r="I5" s="132"/>
      <c r="J5" s="132"/>
      <c r="K5" s="133"/>
    </row>
    <row r="6" spans="1:18" ht="12.75" customHeight="1" x14ac:dyDescent="0.25">
      <c r="A6" s="311" t="s">
        <v>120</v>
      </c>
      <c r="B6" s="197"/>
      <c r="C6" s="96">
        <f t="shared" ref="C6:H6" si="0">SUM(C7:C9)</f>
        <v>954040458.06000018</v>
      </c>
      <c r="D6" s="149">
        <f t="shared" si="0"/>
        <v>1071137500</v>
      </c>
      <c r="E6" s="38">
        <f t="shared" si="0"/>
        <v>1074937347</v>
      </c>
      <c r="F6" s="38">
        <f t="shared" si="0"/>
        <v>65501293.950000003</v>
      </c>
      <c r="G6" s="38">
        <f t="shared" si="0"/>
        <v>922879677.04999995</v>
      </c>
      <c r="H6" s="38">
        <f t="shared" si="0"/>
        <v>931283702.07000005</v>
      </c>
      <c r="I6" s="34">
        <f t="shared" ref="I6:I19" si="1">G6-H6</f>
        <v>-8404025.0200001001</v>
      </c>
      <c r="J6" s="101">
        <f>IF(I6=0,"",I6/H6)</f>
        <v>-9.0241298127736493E-3</v>
      </c>
      <c r="K6" s="96">
        <f>SUM(K7:K9)</f>
        <v>1074937347</v>
      </c>
      <c r="Q6" s="48"/>
      <c r="R6" s="49"/>
    </row>
    <row r="7" spans="1:18" ht="12.75" customHeight="1" x14ac:dyDescent="0.25">
      <c r="A7" s="67" t="s">
        <v>91</v>
      </c>
      <c r="B7" s="197"/>
      <c r="C7" s="78">
        <f>'C2C'!C7</f>
        <v>1399221.37</v>
      </c>
      <c r="D7" s="148">
        <f>'C2C'!D7</f>
        <v>805200</v>
      </c>
      <c r="E7" s="34">
        <f>'C2C'!E7</f>
        <v>806000</v>
      </c>
      <c r="F7" s="34">
        <f>'C2C'!F7</f>
        <v>104079.02</v>
      </c>
      <c r="G7" s="34">
        <f>'C2C'!G7</f>
        <v>1568720.01</v>
      </c>
      <c r="H7" s="34">
        <f>'C2C'!H7</f>
        <v>1532062.68</v>
      </c>
      <c r="I7" s="34">
        <f t="shared" si="1"/>
        <v>36657.330000000075</v>
      </c>
      <c r="J7" s="101">
        <f t="shared" ref="J7:J26" si="2">IF(I7=0,"",I7/H7)</f>
        <v>2.392678216011376E-2</v>
      </c>
      <c r="K7" s="78">
        <f>'C2C'!K7</f>
        <v>806000</v>
      </c>
      <c r="Q7" s="48"/>
      <c r="R7" s="49"/>
    </row>
    <row r="8" spans="1:18" ht="12.75" customHeight="1" x14ac:dyDescent="0.25">
      <c r="A8" s="67" t="s">
        <v>1026</v>
      </c>
      <c r="B8" s="197"/>
      <c r="C8" s="236">
        <f>'C2C'!C10</f>
        <v>952542881.68000019</v>
      </c>
      <c r="D8" s="238">
        <f>'C2C'!D10</f>
        <v>1070304900</v>
      </c>
      <c r="E8" s="239">
        <f>'C2C'!E10</f>
        <v>1074103847</v>
      </c>
      <c r="F8" s="239">
        <f>'C2C'!F10</f>
        <v>65394939.93</v>
      </c>
      <c r="G8" s="239">
        <f>'C2C'!G10</f>
        <v>921288207.03999996</v>
      </c>
      <c r="H8" s="239">
        <f>'C2C'!H10</f>
        <v>929728746.5200001</v>
      </c>
      <c r="I8" s="34">
        <f t="shared" si="1"/>
        <v>-8440539.4800001383</v>
      </c>
      <c r="J8" s="101">
        <f t="shared" si="2"/>
        <v>-9.0784968321064672E-3</v>
      </c>
      <c r="K8" s="240">
        <f>'C2C'!K10</f>
        <v>1074103847</v>
      </c>
      <c r="Q8" s="48"/>
      <c r="R8" s="49"/>
    </row>
    <row r="9" spans="1:18" ht="12.75" customHeight="1" x14ac:dyDescent="0.25">
      <c r="A9" s="67" t="s">
        <v>1037</v>
      </c>
      <c r="B9" s="197"/>
      <c r="C9" s="78">
        <f>'C2C'!C24</f>
        <v>98355.01</v>
      </c>
      <c r="D9" s="148">
        <f>'C2C'!D24</f>
        <v>27400</v>
      </c>
      <c r="E9" s="34">
        <f>'C2C'!E24</f>
        <v>27500</v>
      </c>
      <c r="F9" s="34">
        <f>'C2C'!F24</f>
        <v>2275</v>
      </c>
      <c r="G9" s="34">
        <f>'C2C'!G24</f>
        <v>22750</v>
      </c>
      <c r="H9" s="34">
        <f>'C2C'!H24</f>
        <v>22892.87</v>
      </c>
      <c r="I9" s="34">
        <f t="shared" si="1"/>
        <v>-142.86999999999898</v>
      </c>
      <c r="J9" s="101">
        <f>IF(H9=0,"",I9/H9)</f>
        <v>-6.2408077274714348E-3</v>
      </c>
      <c r="K9" s="78">
        <f>'C2C'!K24</f>
        <v>27500</v>
      </c>
      <c r="Q9" s="48"/>
      <c r="R9" s="49"/>
    </row>
    <row r="10" spans="1:18" ht="12.75" customHeight="1" x14ac:dyDescent="0.25">
      <c r="A10" s="311" t="s">
        <v>92</v>
      </c>
      <c r="B10" s="197"/>
      <c r="C10" s="96">
        <f t="shared" ref="C10:H10" si="3">SUM(C11:C15)</f>
        <v>194893423.76000002</v>
      </c>
      <c r="D10" s="149">
        <f t="shared" si="3"/>
        <v>113811000</v>
      </c>
      <c r="E10" s="38">
        <f t="shared" si="3"/>
        <v>123964400</v>
      </c>
      <c r="F10" s="38">
        <f t="shared" si="3"/>
        <v>15728027.030000001</v>
      </c>
      <c r="G10" s="38">
        <f t="shared" si="3"/>
        <v>83444730.340000004</v>
      </c>
      <c r="H10" s="38">
        <f t="shared" si="3"/>
        <v>84105677.610000014</v>
      </c>
      <c r="I10" s="34">
        <f t="shared" si="1"/>
        <v>-660947.27000001073</v>
      </c>
      <c r="J10" s="101">
        <f t="shared" si="2"/>
        <v>-7.8585333211966812E-3</v>
      </c>
      <c r="K10" s="96">
        <f>SUM(K11:K15)</f>
        <v>123964400</v>
      </c>
      <c r="Q10" s="48"/>
      <c r="R10" s="49"/>
    </row>
    <row r="11" spans="1:18" ht="12.75" customHeight="1" x14ac:dyDescent="0.25">
      <c r="A11" s="67" t="s">
        <v>93</v>
      </c>
      <c r="B11" s="197"/>
      <c r="C11" s="78">
        <f>'C2C'!C27</f>
        <v>17439895.370000001</v>
      </c>
      <c r="D11" s="148">
        <f>'C2C'!D27</f>
        <v>18143100</v>
      </c>
      <c r="E11" s="34">
        <f>'C2C'!E27</f>
        <v>18094400</v>
      </c>
      <c r="F11" s="34">
        <f>'C2C'!F27</f>
        <v>586739.96000000008</v>
      </c>
      <c r="G11" s="34">
        <f>'C2C'!G27</f>
        <v>16810938.350000001</v>
      </c>
      <c r="H11" s="34">
        <f>'C2C'!H27</f>
        <v>16217743.34</v>
      </c>
      <c r="I11" s="34">
        <f t="shared" si="1"/>
        <v>593195.01000000164</v>
      </c>
      <c r="J11" s="101">
        <f t="shared" si="2"/>
        <v>3.6576914405651313E-2</v>
      </c>
      <c r="K11" s="78">
        <f>'C2C'!K27</f>
        <v>18094400</v>
      </c>
      <c r="Q11" s="48"/>
      <c r="R11" s="49"/>
    </row>
    <row r="12" spans="1:18" ht="12.75" customHeight="1" x14ac:dyDescent="0.25">
      <c r="A12" s="67" t="s">
        <v>94</v>
      </c>
      <c r="B12" s="197"/>
      <c r="C12" s="78">
        <f>'C2C'!C49</f>
        <v>26852319.229999997</v>
      </c>
      <c r="D12" s="148">
        <f>'C2C'!D49</f>
        <v>13277000</v>
      </c>
      <c r="E12" s="34">
        <f>'C2C'!E49</f>
        <v>25077400</v>
      </c>
      <c r="F12" s="34">
        <f>'C2C'!F49</f>
        <v>14366988.890000001</v>
      </c>
      <c r="G12" s="34">
        <f>'C2C'!G49</f>
        <v>43280890.539999999</v>
      </c>
      <c r="H12" s="34">
        <f>'C2C'!H49</f>
        <v>29334960.390000001</v>
      </c>
      <c r="I12" s="34">
        <f t="shared" si="1"/>
        <v>13945930.149999999</v>
      </c>
      <c r="J12" s="101">
        <f t="shared" si="2"/>
        <v>0.47540306735011068</v>
      </c>
      <c r="K12" s="78">
        <f>'C2C'!K49</f>
        <v>25077400</v>
      </c>
      <c r="Q12" s="48"/>
      <c r="R12" s="49"/>
    </row>
    <row r="13" spans="1:18" ht="12.75" customHeight="1" x14ac:dyDescent="0.25">
      <c r="A13" s="67" t="s">
        <v>95</v>
      </c>
      <c r="B13" s="197"/>
      <c r="C13" s="78">
        <f>'C2C'!C55</f>
        <v>14770399.300000001</v>
      </c>
      <c r="D13" s="148">
        <f>'C2C'!D55</f>
        <v>11362000</v>
      </c>
      <c r="E13" s="34">
        <f>'C2C'!E55</f>
        <v>8048600</v>
      </c>
      <c r="F13" s="34">
        <f>'C2C'!F55</f>
        <v>572179.5</v>
      </c>
      <c r="G13" s="34">
        <f>'C2C'!G55</f>
        <v>5673651.7300000004</v>
      </c>
      <c r="H13" s="34">
        <f>'C2C'!H55</f>
        <v>5785174.2800000003</v>
      </c>
      <c r="I13" s="34">
        <f t="shared" si="1"/>
        <v>-111522.54999999981</v>
      </c>
      <c r="J13" s="101">
        <f t="shared" si="2"/>
        <v>-1.9277301703000693E-2</v>
      </c>
      <c r="K13" s="78">
        <f>'C2C'!K55</f>
        <v>8048600</v>
      </c>
      <c r="Q13" s="48"/>
      <c r="R13" s="49"/>
    </row>
    <row r="14" spans="1:18" ht="12.75" customHeight="1" x14ac:dyDescent="0.25">
      <c r="A14" s="67" t="s">
        <v>659</v>
      </c>
      <c r="B14" s="197"/>
      <c r="C14" s="78">
        <f>'C2C'!C64</f>
        <v>135481643.83000001</v>
      </c>
      <c r="D14" s="148">
        <f>'C2C'!D64</f>
        <v>71028900</v>
      </c>
      <c r="E14" s="34">
        <f>'C2C'!E64</f>
        <v>72744000</v>
      </c>
      <c r="F14" s="34">
        <f>'C2C'!F64</f>
        <v>202118.68</v>
      </c>
      <c r="G14" s="34">
        <f>'C2C'!G64</f>
        <v>17679249.719999999</v>
      </c>
      <c r="H14" s="34">
        <f>'C2C'!H64</f>
        <v>32767799.600000001</v>
      </c>
      <c r="I14" s="34">
        <f t="shared" si="1"/>
        <v>-15088549.880000003</v>
      </c>
      <c r="J14" s="101">
        <f t="shared" si="2"/>
        <v>-0.46046881585542904</v>
      </c>
      <c r="K14" s="78">
        <f>'C2C'!K64</f>
        <v>72744000</v>
      </c>
      <c r="Q14" s="48"/>
      <c r="R14" s="49"/>
    </row>
    <row r="15" spans="1:18" ht="12.75" customHeight="1" x14ac:dyDescent="0.25">
      <c r="A15" s="67" t="s">
        <v>559</v>
      </c>
      <c r="B15" s="197"/>
      <c r="C15" s="236">
        <f>'C2C'!C67</f>
        <v>349166.03</v>
      </c>
      <c r="D15" s="238">
        <f>'C2C'!D67</f>
        <v>0</v>
      </c>
      <c r="E15" s="239">
        <f>'C2C'!E67</f>
        <v>0</v>
      </c>
      <c r="F15" s="239">
        <f>'C2C'!F67</f>
        <v>0</v>
      </c>
      <c r="G15" s="239">
        <f>'C2C'!G67</f>
        <v>0</v>
      </c>
      <c r="H15" s="239">
        <f>'C2C'!H67</f>
        <v>0</v>
      </c>
      <c r="I15" s="34">
        <f t="shared" si="1"/>
        <v>0</v>
      </c>
      <c r="J15" s="101" t="str">
        <f>IF(H15=0,"",I15/H15)</f>
        <v/>
      </c>
      <c r="K15" s="240">
        <f>'C2C'!K67</f>
        <v>0</v>
      </c>
      <c r="Q15" s="48"/>
      <c r="R15" s="49"/>
    </row>
    <row r="16" spans="1:18" ht="12.75" customHeight="1" x14ac:dyDescent="0.25">
      <c r="A16" s="311" t="s">
        <v>96</v>
      </c>
      <c r="B16" s="197"/>
      <c r="C16" s="96">
        <f t="shared" ref="C16:H16" si="4">SUM(C17:C19)</f>
        <v>188781901.33000001</v>
      </c>
      <c r="D16" s="149">
        <f t="shared" si="4"/>
        <v>75661100</v>
      </c>
      <c r="E16" s="38">
        <f t="shared" si="4"/>
        <v>91311200</v>
      </c>
      <c r="F16" s="38">
        <f t="shared" si="4"/>
        <v>22454866.759999998</v>
      </c>
      <c r="G16" s="38">
        <f t="shared" si="4"/>
        <v>87786910.239999995</v>
      </c>
      <c r="H16" s="38">
        <f t="shared" si="4"/>
        <v>70111704.610000014</v>
      </c>
      <c r="I16" s="34">
        <f t="shared" si="1"/>
        <v>17675205.62999998</v>
      </c>
      <c r="J16" s="101">
        <f t="shared" si="2"/>
        <v>0.25210064037551544</v>
      </c>
      <c r="K16" s="96">
        <f>SUM(K17:K19)</f>
        <v>91311200</v>
      </c>
      <c r="Q16" s="48"/>
      <c r="R16" s="49"/>
    </row>
    <row r="17" spans="1:18" ht="12.75" customHeight="1" x14ac:dyDescent="0.25">
      <c r="A17" s="67" t="s">
        <v>97</v>
      </c>
      <c r="B17" s="197"/>
      <c r="C17" s="78">
        <f>'C2C'!C76</f>
        <v>110105151.67999999</v>
      </c>
      <c r="D17" s="148">
        <f>'C2C'!D76</f>
        <v>17425600</v>
      </c>
      <c r="E17" s="34">
        <f>'C2C'!E76</f>
        <v>32712800</v>
      </c>
      <c r="F17" s="34">
        <f>'C2C'!F76</f>
        <v>20040212.069999997</v>
      </c>
      <c r="G17" s="34">
        <f>'C2C'!G76</f>
        <v>29568601.169999998</v>
      </c>
      <c r="H17" s="34">
        <f>'C2C'!H76</f>
        <v>13350836.540000001</v>
      </c>
      <c r="I17" s="34">
        <f t="shared" si="1"/>
        <v>16217764.629999997</v>
      </c>
      <c r="J17" s="101">
        <f t="shared" si="2"/>
        <v>1.2147377118587654</v>
      </c>
      <c r="K17" s="78">
        <f>'C2C'!K76</f>
        <v>32712800</v>
      </c>
      <c r="Q17" s="48"/>
      <c r="R17" s="49"/>
    </row>
    <row r="18" spans="1:18" ht="12.75" customHeight="1" x14ac:dyDescent="0.25">
      <c r="A18" s="67" t="s">
        <v>98</v>
      </c>
      <c r="B18" s="197"/>
      <c r="C18" s="78">
        <f>'C2C'!C87</f>
        <v>78577135.189999998</v>
      </c>
      <c r="D18" s="148">
        <f>'C2C'!D87</f>
        <v>58169700</v>
      </c>
      <c r="E18" s="34">
        <f>'C2C'!E87</f>
        <v>58532500</v>
      </c>
      <c r="F18" s="34">
        <f>'C2C'!F87</f>
        <v>2410104.69</v>
      </c>
      <c r="G18" s="34">
        <f>'C2C'!G87</f>
        <v>57996697.259999998</v>
      </c>
      <c r="H18" s="34">
        <f>'C2C'!H87</f>
        <v>56539213.390000001</v>
      </c>
      <c r="I18" s="34">
        <f t="shared" si="1"/>
        <v>1457483.8699999973</v>
      </c>
      <c r="J18" s="101">
        <f t="shared" si="2"/>
        <v>2.5778283471092296E-2</v>
      </c>
      <c r="K18" s="78">
        <f>'C2C'!K87</f>
        <v>58532500</v>
      </c>
      <c r="Q18" s="48"/>
      <c r="R18" s="49"/>
    </row>
    <row r="19" spans="1:18" ht="12.75" customHeight="1" x14ac:dyDescent="0.25">
      <c r="A19" s="67" t="s">
        <v>99</v>
      </c>
      <c r="B19" s="197"/>
      <c r="C19" s="78">
        <f>'C2C'!C92</f>
        <v>99614.46</v>
      </c>
      <c r="D19" s="148">
        <f>'C2C'!D92</f>
        <v>65800</v>
      </c>
      <c r="E19" s="34">
        <f>'C2C'!E92</f>
        <v>65900</v>
      </c>
      <c r="F19" s="34">
        <f>'C2C'!F92</f>
        <v>4550</v>
      </c>
      <c r="G19" s="34">
        <f>'C2C'!G92</f>
        <v>221611.81</v>
      </c>
      <c r="H19" s="34">
        <f>'C2C'!H92</f>
        <v>221654.68</v>
      </c>
      <c r="I19" s="34">
        <f t="shared" si="1"/>
        <v>-42.869999999995343</v>
      </c>
      <c r="J19" s="101">
        <f t="shared" si="2"/>
        <v>-1.9340895486616997E-4</v>
      </c>
      <c r="K19" s="78">
        <f>'C2C'!K92</f>
        <v>65900</v>
      </c>
      <c r="Q19" s="48"/>
      <c r="R19" s="49"/>
    </row>
    <row r="20" spans="1:18" ht="12.75" customHeight="1" x14ac:dyDescent="0.25">
      <c r="A20" s="311" t="s">
        <v>100</v>
      </c>
      <c r="B20" s="197"/>
      <c r="C20" s="96">
        <f>SUM(C21:C24)</f>
        <v>3922614116.1999998</v>
      </c>
      <c r="D20" s="149">
        <f t="shared" ref="D20:I20" si="5">SUM(D21:D24)</f>
        <v>4547942000</v>
      </c>
      <c r="E20" s="38">
        <f t="shared" si="5"/>
        <v>4269019600</v>
      </c>
      <c r="F20" s="38">
        <f t="shared" si="5"/>
        <v>281637338.52999997</v>
      </c>
      <c r="G20" s="38">
        <f t="shared" si="5"/>
        <v>3518080077.7399998</v>
      </c>
      <c r="H20" s="38">
        <f t="shared" si="5"/>
        <v>3531156675.1799998</v>
      </c>
      <c r="I20" s="38">
        <f t="shared" si="5"/>
        <v>-13076597.439999968</v>
      </c>
      <c r="J20" s="101">
        <f t="shared" si="2"/>
        <v>-3.703205108941645E-3</v>
      </c>
      <c r="K20" s="96">
        <f>SUM(K21:K24)</f>
        <v>4269019600</v>
      </c>
      <c r="Q20" s="48"/>
      <c r="R20" s="49"/>
    </row>
    <row r="21" spans="1:18" ht="12.75" customHeight="1" x14ac:dyDescent="0.25">
      <c r="A21" s="67" t="s">
        <v>1094</v>
      </c>
      <c r="B21" s="197"/>
      <c r="C21" s="78">
        <f>'C2C'!C100</f>
        <v>2112825148.0999999</v>
      </c>
      <c r="D21" s="148">
        <f>'C2C'!D100</f>
        <v>2626071100</v>
      </c>
      <c r="E21" s="34">
        <f>'C2C'!E100</f>
        <v>2439519200</v>
      </c>
      <c r="F21" s="34">
        <f>'C2C'!F100</f>
        <v>197159438.38999999</v>
      </c>
      <c r="G21" s="34">
        <f>'C2C'!G100</f>
        <v>2008740228.3699999</v>
      </c>
      <c r="H21" s="34">
        <f>'C2C'!H100</f>
        <v>1961275578.9799998</v>
      </c>
      <c r="I21" s="34">
        <f>G21-H21</f>
        <v>47464649.390000105</v>
      </c>
      <c r="J21" s="101">
        <f t="shared" si="2"/>
        <v>2.4200907765692486E-2</v>
      </c>
      <c r="K21" s="78">
        <f>'C2C'!K100</f>
        <v>2439519200</v>
      </c>
      <c r="Q21" s="48"/>
      <c r="R21" s="49"/>
    </row>
    <row r="22" spans="1:18" ht="12.75" customHeight="1" x14ac:dyDescent="0.25">
      <c r="A22" s="67" t="s">
        <v>1098</v>
      </c>
      <c r="B22" s="197"/>
      <c r="C22" s="78">
        <f>'C2C'!C104</f>
        <v>1313685310.6199999</v>
      </c>
      <c r="D22" s="148">
        <f>'C2C'!D104</f>
        <v>1387082300</v>
      </c>
      <c r="E22" s="34">
        <f>'C2C'!E104</f>
        <v>1326659500</v>
      </c>
      <c r="F22" s="34">
        <f>'C2C'!F104</f>
        <v>57315160.579999998</v>
      </c>
      <c r="G22" s="34">
        <f>'C2C'!G104</f>
        <v>1052446142.27</v>
      </c>
      <c r="H22" s="34">
        <f>'C2C'!H104</f>
        <v>1107755092.72</v>
      </c>
      <c r="I22" s="34">
        <f>G22-H22</f>
        <v>-55308950.450000048</v>
      </c>
      <c r="J22" s="101">
        <f t="shared" si="2"/>
        <v>-4.9928861364287251E-2</v>
      </c>
      <c r="K22" s="78">
        <f>'C2C'!K104</f>
        <v>1326659500</v>
      </c>
      <c r="Q22" s="48"/>
      <c r="R22" s="49"/>
    </row>
    <row r="23" spans="1:18" ht="12.75" customHeight="1" x14ac:dyDescent="0.25">
      <c r="A23" s="67" t="s">
        <v>101</v>
      </c>
      <c r="B23" s="197"/>
      <c r="C23" s="236">
        <f>'C2C'!C108</f>
        <v>271259835.32999998</v>
      </c>
      <c r="D23" s="238">
        <f>'C2C'!D108</f>
        <v>292822100</v>
      </c>
      <c r="E23" s="239">
        <f>'C2C'!E108</f>
        <v>263693300</v>
      </c>
      <c r="F23" s="239">
        <f>'C2C'!F108</f>
        <v>16381488.84</v>
      </c>
      <c r="G23" s="239">
        <f>'C2C'!G108</f>
        <v>243871297.38999999</v>
      </c>
      <c r="H23" s="239">
        <f>'C2C'!H108</f>
        <v>242878160.87</v>
      </c>
      <c r="I23" s="34">
        <f>G23-H23</f>
        <v>993136.51999998093</v>
      </c>
      <c r="J23" s="101">
        <f t="shared" si="2"/>
        <v>4.0890317863183879E-3</v>
      </c>
      <c r="K23" s="240">
        <f>'C2C'!K108</f>
        <v>263693300</v>
      </c>
      <c r="Q23" s="48"/>
      <c r="R23" s="49"/>
    </row>
    <row r="24" spans="1:18" ht="12.75" customHeight="1" x14ac:dyDescent="0.25">
      <c r="A24" s="67" t="s">
        <v>102</v>
      </c>
      <c r="B24" s="197"/>
      <c r="C24" s="78">
        <f>'C2C'!C113</f>
        <v>224843822.15000001</v>
      </c>
      <c r="D24" s="148">
        <f>'C2C'!D113</f>
        <v>241966500</v>
      </c>
      <c r="E24" s="34">
        <f>'C2C'!E113</f>
        <v>239147600</v>
      </c>
      <c r="F24" s="34">
        <f>'C2C'!F113</f>
        <v>10781250.720000001</v>
      </c>
      <c r="G24" s="34">
        <f>'C2C'!G113</f>
        <v>213022409.70999998</v>
      </c>
      <c r="H24" s="34">
        <f>'C2C'!H113</f>
        <v>219247842.60999998</v>
      </c>
      <c r="I24" s="34">
        <f>G24-H24</f>
        <v>-6225432.900000006</v>
      </c>
      <c r="J24" s="101">
        <f t="shared" si="2"/>
        <v>-2.8394500150561854E-2</v>
      </c>
      <c r="K24" s="78">
        <f>'C2C'!K113</f>
        <v>239147600</v>
      </c>
      <c r="Q24" s="48"/>
      <c r="R24" s="49"/>
    </row>
    <row r="25" spans="1:18" ht="12.75" customHeight="1" x14ac:dyDescent="0.25">
      <c r="A25" s="311" t="s">
        <v>666</v>
      </c>
      <c r="B25" s="197">
        <v>4</v>
      </c>
      <c r="C25" s="96">
        <f>'C2C'!C118</f>
        <v>5679325.1799999997</v>
      </c>
      <c r="D25" s="149">
        <f>'C2C'!D118</f>
        <v>9903200</v>
      </c>
      <c r="E25" s="38">
        <f>'C2C'!E118</f>
        <v>5815300</v>
      </c>
      <c r="F25" s="38">
        <f>'C2C'!F118</f>
        <v>791689.96</v>
      </c>
      <c r="G25" s="38">
        <f>'C2C'!G118</f>
        <v>5304046.03</v>
      </c>
      <c r="H25" s="38">
        <f>'C2C'!H118</f>
        <v>7136241.3099999996</v>
      </c>
      <c r="I25" s="38">
        <f>G25-H25</f>
        <v>-1832195.2799999993</v>
      </c>
      <c r="J25" s="249">
        <f t="shared" si="2"/>
        <v>-0.25674514081138877</v>
      </c>
      <c r="K25" s="96">
        <f>'C2C'!K118</f>
        <v>5815300</v>
      </c>
      <c r="Q25" s="48"/>
      <c r="R25" s="49"/>
    </row>
    <row r="26" spans="1:18" ht="12.75" customHeight="1" x14ac:dyDescent="0.25">
      <c r="A26" s="62" t="s">
        <v>1111</v>
      </c>
      <c r="B26" s="223">
        <v>2</v>
      </c>
      <c r="C26" s="137">
        <f>C6+C10+C16+C20+C25</f>
        <v>5266009224.5300007</v>
      </c>
      <c r="D26" s="150">
        <f t="shared" ref="D26:I26" si="6">D6+D10+D16+D20+D25</f>
        <v>5818454800</v>
      </c>
      <c r="E26" s="52">
        <f t="shared" si="6"/>
        <v>5565047847</v>
      </c>
      <c r="F26" s="52">
        <f t="shared" si="6"/>
        <v>386113216.22999996</v>
      </c>
      <c r="G26" s="52">
        <f t="shared" si="6"/>
        <v>4617495441.3999996</v>
      </c>
      <c r="H26" s="52">
        <f t="shared" si="6"/>
        <v>4623794000.7799997</v>
      </c>
      <c r="I26" s="52">
        <f t="shared" si="6"/>
        <v>-6298559.3800000977</v>
      </c>
      <c r="J26" s="233">
        <f t="shared" si="2"/>
        <v>-1.3622058809145861E-3</v>
      </c>
      <c r="K26" s="79">
        <f>K6+K10+K16+K20+K25</f>
        <v>5565047847</v>
      </c>
      <c r="Q26" s="50"/>
      <c r="R26" s="51"/>
    </row>
    <row r="27" spans="1:18" ht="5.0999999999999996" customHeight="1" x14ac:dyDescent="0.25">
      <c r="A27" s="32"/>
      <c r="B27" s="197"/>
      <c r="C27" s="35"/>
      <c r="D27" s="148"/>
      <c r="E27" s="34"/>
      <c r="F27" s="34"/>
      <c r="G27" s="34"/>
      <c r="H27" s="34"/>
      <c r="I27" s="34"/>
      <c r="J27" s="34"/>
      <c r="K27" s="78"/>
      <c r="Q27" s="46"/>
    </row>
    <row r="28" spans="1:18" ht="12.75" customHeight="1" x14ac:dyDescent="0.25">
      <c r="A28" s="29" t="s">
        <v>1107</v>
      </c>
      <c r="B28" s="198"/>
      <c r="C28" s="35"/>
      <c r="D28" s="148"/>
      <c r="E28" s="34"/>
      <c r="F28" s="34"/>
      <c r="G28" s="34"/>
      <c r="H28" s="34"/>
      <c r="I28" s="34"/>
      <c r="J28" s="34"/>
      <c r="K28" s="78"/>
      <c r="Q28" s="46"/>
    </row>
    <row r="29" spans="1:18" ht="12.75" customHeight="1" x14ac:dyDescent="0.25">
      <c r="A29" s="311" t="s">
        <v>120</v>
      </c>
      <c r="B29" s="197"/>
      <c r="C29" s="96">
        <f t="shared" ref="C29:H29" si="7">SUM(C30:C32)</f>
        <v>282634299.5</v>
      </c>
      <c r="D29" s="149">
        <f t="shared" si="7"/>
        <v>223892900</v>
      </c>
      <c r="E29" s="38">
        <f t="shared" si="7"/>
        <v>333218004.00999999</v>
      </c>
      <c r="F29" s="38">
        <f t="shared" si="7"/>
        <v>17688887.359999999</v>
      </c>
      <c r="G29" s="38">
        <f t="shared" si="7"/>
        <v>227808870.59</v>
      </c>
      <c r="H29" s="38">
        <f t="shared" si="7"/>
        <v>234735471.18000001</v>
      </c>
      <c r="I29" s="34">
        <f t="shared" ref="I29:I48" si="8">G29-H29</f>
        <v>-6926600.5900000036</v>
      </c>
      <c r="J29" s="101">
        <f>IF(I29=0,"",I29/H29)</f>
        <v>-2.9508112068365427E-2</v>
      </c>
      <c r="K29" s="96">
        <f>SUM(K30:K32)</f>
        <v>333218004.00999999</v>
      </c>
      <c r="Q29" s="48"/>
    </row>
    <row r="30" spans="1:18" ht="12.75" customHeight="1" x14ac:dyDescent="0.25">
      <c r="A30" s="67" t="s">
        <v>91</v>
      </c>
      <c r="B30" s="197"/>
      <c r="C30" s="78">
        <f>'C2C'!C129</f>
        <v>29662665.909999996</v>
      </c>
      <c r="D30" s="148">
        <f>'C2C'!D129</f>
        <v>49014500</v>
      </c>
      <c r="E30" s="34">
        <f>'C2C'!E129</f>
        <v>59087425.399999999</v>
      </c>
      <c r="F30" s="34">
        <f>'C2C'!F129</f>
        <v>659714.38000000035</v>
      </c>
      <c r="G30" s="34">
        <f>'C2C'!G129</f>
        <v>29901701.77</v>
      </c>
      <c r="H30" s="34">
        <f>'C2C'!H129</f>
        <v>42724434.020000003</v>
      </c>
      <c r="I30" s="34">
        <f t="shared" si="8"/>
        <v>-12822732.250000004</v>
      </c>
      <c r="J30" s="101">
        <f t="shared" ref="J30:J49" si="9">IF(I30=0,"",I30/H30)</f>
        <v>-0.30012643921736853</v>
      </c>
      <c r="K30" s="78">
        <f>'C2C'!K129</f>
        <v>59087425.399999999</v>
      </c>
      <c r="Q30" s="48"/>
    </row>
    <row r="31" spans="1:18" ht="12.75" customHeight="1" x14ac:dyDescent="0.25">
      <c r="A31" s="67" t="s">
        <v>1026</v>
      </c>
      <c r="B31" s="197"/>
      <c r="C31" s="236">
        <f>'C2C'!C132</f>
        <v>252620017.33000001</v>
      </c>
      <c r="D31" s="238">
        <f>'C2C'!D132</f>
        <v>174702500</v>
      </c>
      <c r="E31" s="239">
        <f>'C2C'!E132</f>
        <v>273939078.61000001</v>
      </c>
      <c r="F31" s="239">
        <f>'C2C'!F132</f>
        <v>15568871.219999999</v>
      </c>
      <c r="G31" s="239">
        <f>'C2C'!G132</f>
        <v>198877423.94999999</v>
      </c>
      <c r="H31" s="239">
        <f>'C2C'!H132</f>
        <v>195975975.84999999</v>
      </c>
      <c r="I31" s="34">
        <f t="shared" si="8"/>
        <v>2901448.099999994</v>
      </c>
      <c r="J31" s="101">
        <f t="shared" si="9"/>
        <v>1.4805121328854932E-2</v>
      </c>
      <c r="K31" s="240">
        <f>'C2C'!K132</f>
        <v>273939078.61000001</v>
      </c>
      <c r="Q31" s="48"/>
    </row>
    <row r="32" spans="1:18" ht="12.75" customHeight="1" x14ac:dyDescent="0.25">
      <c r="A32" s="67" t="s">
        <v>1037</v>
      </c>
      <c r="B32" s="197"/>
      <c r="C32" s="78">
        <f>'C2C'!C146</f>
        <v>351616.26</v>
      </c>
      <c r="D32" s="148">
        <f>'C2C'!D146</f>
        <v>175900</v>
      </c>
      <c r="E32" s="34">
        <f>'C2C'!E146</f>
        <v>191500</v>
      </c>
      <c r="F32" s="34">
        <f>'C2C'!F146</f>
        <v>1460301.76</v>
      </c>
      <c r="G32" s="34">
        <f>'C2C'!G146</f>
        <v>-970255.13</v>
      </c>
      <c r="H32" s="34">
        <f>'C2C'!H146</f>
        <v>-3964938.69</v>
      </c>
      <c r="I32" s="34">
        <f t="shared" si="8"/>
        <v>2994683.56</v>
      </c>
      <c r="J32" s="101">
        <f t="shared" si="9"/>
        <v>-0.75529126529822843</v>
      </c>
      <c r="K32" s="78">
        <f>'C2C'!K146</f>
        <v>191500</v>
      </c>
      <c r="Q32" s="48"/>
    </row>
    <row r="33" spans="1:17" ht="12.75" customHeight="1" x14ac:dyDescent="0.25">
      <c r="A33" s="311" t="s">
        <v>92</v>
      </c>
      <c r="B33" s="197"/>
      <c r="C33" s="96">
        <f t="shared" ref="C33:H33" si="10">SUM(C34:C38)</f>
        <v>724804056.40999997</v>
      </c>
      <c r="D33" s="149">
        <f t="shared" si="10"/>
        <v>699750500</v>
      </c>
      <c r="E33" s="38">
        <f t="shared" si="10"/>
        <v>705081742.66999996</v>
      </c>
      <c r="F33" s="38">
        <f t="shared" si="10"/>
        <v>48580750.390000008</v>
      </c>
      <c r="G33" s="38">
        <f t="shared" si="10"/>
        <v>494039305.74999994</v>
      </c>
      <c r="H33" s="38">
        <f t="shared" si="10"/>
        <v>520835511.94999993</v>
      </c>
      <c r="I33" s="34">
        <f t="shared" si="8"/>
        <v>-26796206.199999988</v>
      </c>
      <c r="J33" s="101">
        <f t="shared" si="9"/>
        <v>-5.1448500697802678E-2</v>
      </c>
      <c r="K33" s="96">
        <f>SUM(K34:K38)</f>
        <v>705081742.66999996</v>
      </c>
      <c r="Q33" s="48"/>
    </row>
    <row r="34" spans="1:17" ht="12.75" customHeight="1" x14ac:dyDescent="0.25">
      <c r="A34" s="67" t="s">
        <v>93</v>
      </c>
      <c r="B34" s="197"/>
      <c r="C34" s="78">
        <f>'C2C'!C149</f>
        <v>145439499.39000002</v>
      </c>
      <c r="D34" s="148">
        <f>'C2C'!D149</f>
        <v>150173900</v>
      </c>
      <c r="E34" s="34">
        <f>'C2C'!E149</f>
        <v>149164404.89000002</v>
      </c>
      <c r="F34" s="34">
        <f>'C2C'!F149</f>
        <v>13971116.6</v>
      </c>
      <c r="G34" s="34">
        <f>'C2C'!G149</f>
        <v>121083989.14999999</v>
      </c>
      <c r="H34" s="34">
        <f>'C2C'!H149</f>
        <v>118725373.79999998</v>
      </c>
      <c r="I34" s="34">
        <f t="shared" si="8"/>
        <v>2358615.3500000089</v>
      </c>
      <c r="J34" s="101">
        <f t="shared" si="9"/>
        <v>1.986614381162731E-2</v>
      </c>
      <c r="K34" s="78">
        <f>'C2C'!K149</f>
        <v>149164404.89000002</v>
      </c>
      <c r="Q34" s="48"/>
    </row>
    <row r="35" spans="1:17" ht="12.75" customHeight="1" x14ac:dyDescent="0.25">
      <c r="A35" s="67" t="s">
        <v>94</v>
      </c>
      <c r="B35" s="197"/>
      <c r="C35" s="78">
        <f>'C2C'!C171</f>
        <v>204502114.34</v>
      </c>
      <c r="D35" s="148">
        <f>'C2C'!D171</f>
        <v>223320200</v>
      </c>
      <c r="E35" s="34">
        <f>'C2C'!E171</f>
        <v>225880856.27000001</v>
      </c>
      <c r="F35" s="34">
        <f>'C2C'!F171</f>
        <v>16923305.100000001</v>
      </c>
      <c r="G35" s="34">
        <f>'C2C'!G171</f>
        <v>177501265.68000001</v>
      </c>
      <c r="H35" s="34">
        <f>'C2C'!H171</f>
        <v>179058462.97</v>
      </c>
      <c r="I35" s="34">
        <f t="shared" si="8"/>
        <v>-1557197.2899999917</v>
      </c>
      <c r="J35" s="101">
        <f t="shared" si="9"/>
        <v>-8.6965858199111717E-3</v>
      </c>
      <c r="K35" s="78">
        <f>'C2C'!K171</f>
        <v>225880856.27000001</v>
      </c>
      <c r="Q35" s="48"/>
    </row>
    <row r="36" spans="1:17" ht="12.75" customHeight="1" x14ac:dyDescent="0.25">
      <c r="A36" s="67" t="s">
        <v>95</v>
      </c>
      <c r="B36" s="197"/>
      <c r="C36" s="78">
        <f>'C2C'!C177</f>
        <v>204655608.06</v>
      </c>
      <c r="D36" s="148">
        <f>'C2C'!D177</f>
        <v>224135300</v>
      </c>
      <c r="E36" s="34">
        <f>'C2C'!E177</f>
        <v>226593428.47</v>
      </c>
      <c r="F36" s="34">
        <f>'C2C'!F177</f>
        <v>14716648.260000002</v>
      </c>
      <c r="G36" s="34">
        <f>'C2C'!G177</f>
        <v>152020914.38</v>
      </c>
      <c r="H36" s="34">
        <f>'C2C'!H177</f>
        <v>163228749.81999999</v>
      </c>
      <c r="I36" s="34">
        <f t="shared" si="8"/>
        <v>-11207835.439999998</v>
      </c>
      <c r="J36" s="101">
        <f t="shared" si="9"/>
        <v>-6.8663366302562534E-2</v>
      </c>
      <c r="K36" s="78">
        <f>'C2C'!K177</f>
        <v>226593428.47</v>
      </c>
      <c r="Q36" s="49"/>
    </row>
    <row r="37" spans="1:17" ht="12.75" customHeight="1" x14ac:dyDescent="0.25">
      <c r="A37" s="67" t="s">
        <v>659</v>
      </c>
      <c r="B37" s="197"/>
      <c r="C37" s="78">
        <f>'C2C'!C186</f>
        <v>163790597.63</v>
      </c>
      <c r="D37" s="148">
        <f>'C2C'!D186</f>
        <v>94938900</v>
      </c>
      <c r="E37" s="34">
        <f>'C2C'!E186</f>
        <v>96379953.040000007</v>
      </c>
      <c r="F37" s="34">
        <f>'C2C'!F186</f>
        <v>2486516.38</v>
      </c>
      <c r="G37" s="34">
        <f>'C2C'!G186</f>
        <v>37540503.340000004</v>
      </c>
      <c r="H37" s="34">
        <f>'C2C'!H186</f>
        <v>54060184.719999999</v>
      </c>
      <c r="I37" s="34">
        <f t="shared" si="8"/>
        <v>-16519681.379999995</v>
      </c>
      <c r="J37" s="101">
        <f t="shared" si="9"/>
        <v>-0.30557944752801419</v>
      </c>
      <c r="K37" s="78">
        <f>'C2C'!K186</f>
        <v>96379953.040000007</v>
      </c>
      <c r="Q37" s="49"/>
    </row>
    <row r="38" spans="1:17" ht="12.75" customHeight="1" x14ac:dyDescent="0.25">
      <c r="A38" s="67" t="s">
        <v>559</v>
      </c>
      <c r="B38" s="197"/>
      <c r="C38" s="236">
        <f>'C2C'!C189</f>
        <v>6416236.9900000002</v>
      </c>
      <c r="D38" s="238">
        <f>'C2C'!D189</f>
        <v>7182200</v>
      </c>
      <c r="E38" s="239">
        <f>'C2C'!E189</f>
        <v>7063100</v>
      </c>
      <c r="F38" s="239">
        <f>'C2C'!F189</f>
        <v>483164.05</v>
      </c>
      <c r="G38" s="239">
        <f>'C2C'!G189</f>
        <v>5892633.2000000002</v>
      </c>
      <c r="H38" s="239">
        <f>'C2C'!H189</f>
        <v>5762740.6399999997</v>
      </c>
      <c r="I38" s="34">
        <f t="shared" si="8"/>
        <v>129892.56000000052</v>
      </c>
      <c r="J38" s="101">
        <f t="shared" si="9"/>
        <v>2.2540066977576233E-2</v>
      </c>
      <c r="K38" s="240">
        <f>'C2C'!K189</f>
        <v>7063100</v>
      </c>
      <c r="Q38" s="49"/>
    </row>
    <row r="39" spans="1:17" ht="12.75" customHeight="1" x14ac:dyDescent="0.25">
      <c r="A39" s="311" t="s">
        <v>96</v>
      </c>
      <c r="B39" s="197"/>
      <c r="C39" s="96">
        <f t="shared" ref="C39:H39" si="11">SUM(C40:C42)</f>
        <v>513512632.31</v>
      </c>
      <c r="D39" s="149">
        <f t="shared" si="11"/>
        <v>420651100</v>
      </c>
      <c r="E39" s="38">
        <f t="shared" si="11"/>
        <v>414170052.55000001</v>
      </c>
      <c r="F39" s="38">
        <f t="shared" si="11"/>
        <v>32868887.169999998</v>
      </c>
      <c r="G39" s="38">
        <f t="shared" si="11"/>
        <v>333908695.85000008</v>
      </c>
      <c r="H39" s="38">
        <f t="shared" si="11"/>
        <v>345468396.19999999</v>
      </c>
      <c r="I39" s="34">
        <f t="shared" si="8"/>
        <v>-11559700.349999905</v>
      </c>
      <c r="J39" s="101">
        <f t="shared" si="9"/>
        <v>-3.3460948894751333E-2</v>
      </c>
      <c r="K39" s="96">
        <f>SUM(K40:K42)</f>
        <v>414170052.55000001</v>
      </c>
      <c r="Q39" s="49"/>
    </row>
    <row r="40" spans="1:17" ht="12.75" customHeight="1" x14ac:dyDescent="0.25">
      <c r="A40" s="67" t="s">
        <v>97</v>
      </c>
      <c r="B40" s="197"/>
      <c r="C40" s="78">
        <f>'C2C'!C198</f>
        <v>201848938.86999997</v>
      </c>
      <c r="D40" s="148">
        <f>'C2C'!D198</f>
        <v>102513500</v>
      </c>
      <c r="E40" s="34">
        <f>'C2C'!E198</f>
        <v>103750433.37</v>
      </c>
      <c r="F40" s="34">
        <f>'C2C'!F198</f>
        <v>6655116.7199999997</v>
      </c>
      <c r="G40" s="34">
        <f>'C2C'!G198</f>
        <v>77466105.110000014</v>
      </c>
      <c r="H40" s="34">
        <f>'C2C'!H198</f>
        <v>85090225.530000016</v>
      </c>
      <c r="I40" s="34">
        <f t="shared" si="8"/>
        <v>-7624120.4200000018</v>
      </c>
      <c r="J40" s="101">
        <f t="shared" si="9"/>
        <v>-8.9600425577811962E-2</v>
      </c>
      <c r="K40" s="78">
        <f>'C2C'!K198</f>
        <v>103750433.37</v>
      </c>
      <c r="Q40" s="49"/>
    </row>
    <row r="41" spans="1:17" ht="12.75" customHeight="1" x14ac:dyDescent="0.25">
      <c r="A41" s="67" t="s">
        <v>98</v>
      </c>
      <c r="B41" s="197"/>
      <c r="C41" s="78">
        <f>'C2C'!C209</f>
        <v>305702465.48000002</v>
      </c>
      <c r="D41" s="148">
        <f>'C2C'!D209</f>
        <v>309858600</v>
      </c>
      <c r="E41" s="34">
        <f>'C2C'!E209</f>
        <v>296594036.44999999</v>
      </c>
      <c r="F41" s="34">
        <f>'C2C'!F209</f>
        <v>25164662.109999999</v>
      </c>
      <c r="G41" s="34">
        <f>'C2C'!G209</f>
        <v>249957965.20000002</v>
      </c>
      <c r="H41" s="34">
        <f>'C2C'!H209</f>
        <v>253953866.47999999</v>
      </c>
      <c r="I41" s="34">
        <f t="shared" si="8"/>
        <v>-3995901.2799999714</v>
      </c>
      <c r="J41" s="101">
        <f t="shared" si="9"/>
        <v>-1.5734752675303987E-2</v>
      </c>
      <c r="K41" s="78">
        <f>'C2C'!K209</f>
        <v>296594036.44999999</v>
      </c>
      <c r="Q41" s="49"/>
    </row>
    <row r="42" spans="1:17" ht="12.75" customHeight="1" x14ac:dyDescent="0.25">
      <c r="A42" s="67" t="s">
        <v>99</v>
      </c>
      <c r="B42" s="197"/>
      <c r="C42" s="78">
        <f>'C2C'!C214</f>
        <v>5961227.96</v>
      </c>
      <c r="D42" s="148">
        <f>'C2C'!D214</f>
        <v>8279000</v>
      </c>
      <c r="E42" s="34">
        <f>'C2C'!E214</f>
        <v>13825582.73</v>
      </c>
      <c r="F42" s="34">
        <f>'C2C'!F214</f>
        <v>1049108.3400000001</v>
      </c>
      <c r="G42" s="34">
        <f>'C2C'!G214</f>
        <v>6484625.54</v>
      </c>
      <c r="H42" s="34">
        <f>'C2C'!H214</f>
        <v>6424304.1899999995</v>
      </c>
      <c r="I42" s="34">
        <f t="shared" si="8"/>
        <v>60321.350000000559</v>
      </c>
      <c r="J42" s="101">
        <f t="shared" si="9"/>
        <v>9.3895538280855534E-3</v>
      </c>
      <c r="K42" s="78">
        <f>'C2C'!K214</f>
        <v>13825582.73</v>
      </c>
      <c r="Q42" s="49"/>
    </row>
    <row r="43" spans="1:17" ht="12.75" customHeight="1" x14ac:dyDescent="0.25">
      <c r="A43" s="311" t="s">
        <v>100</v>
      </c>
      <c r="B43" s="197"/>
      <c r="C43" s="96">
        <f>SUM(C44:C47)</f>
        <v>3706098969.2799997</v>
      </c>
      <c r="D43" s="149">
        <f t="shared" ref="D43:I43" si="12">SUM(D44:D47)</f>
        <v>4212323900</v>
      </c>
      <c r="E43" s="38">
        <f t="shared" si="12"/>
        <v>4135834516.4700003</v>
      </c>
      <c r="F43" s="38">
        <f t="shared" si="12"/>
        <v>279591909.90999997</v>
      </c>
      <c r="G43" s="38">
        <f t="shared" si="12"/>
        <v>3451844410.23</v>
      </c>
      <c r="H43" s="38">
        <f t="shared" si="12"/>
        <v>3452668923.71</v>
      </c>
      <c r="I43" s="38">
        <f t="shared" si="12"/>
        <v>-824513.47999984026</v>
      </c>
      <c r="J43" s="101">
        <f t="shared" si="9"/>
        <v>-2.3880467493937266E-4</v>
      </c>
      <c r="K43" s="96">
        <f>SUM(K44:K47)</f>
        <v>4135834516.4700003</v>
      </c>
      <c r="Q43" s="49"/>
    </row>
    <row r="44" spans="1:17" ht="12.75" customHeight="1" x14ac:dyDescent="0.25">
      <c r="A44" s="67" t="s">
        <v>1094</v>
      </c>
      <c r="B44" s="197"/>
      <c r="C44" s="78">
        <f>'C2C'!C222</f>
        <v>1891890496.0599999</v>
      </c>
      <c r="D44" s="148">
        <f>'C2C'!D222</f>
        <v>2373236500</v>
      </c>
      <c r="E44" s="34">
        <f>'C2C'!E222</f>
        <v>2309105195.4700003</v>
      </c>
      <c r="F44" s="34">
        <f>'C2C'!F222</f>
        <v>157148304.75</v>
      </c>
      <c r="G44" s="34">
        <f>'C2C'!G222</f>
        <v>1906294771.71</v>
      </c>
      <c r="H44" s="34">
        <f>'C2C'!H222</f>
        <v>1910260572.5699999</v>
      </c>
      <c r="I44" s="34">
        <f t="shared" si="8"/>
        <v>-3965800.8599998951</v>
      </c>
      <c r="J44" s="101">
        <f t="shared" si="9"/>
        <v>-2.0760523024691028E-3</v>
      </c>
      <c r="K44" s="78">
        <f>'C2C'!K222</f>
        <v>2309105195.4700003</v>
      </c>
      <c r="Q44" s="49"/>
    </row>
    <row r="45" spans="1:17" ht="12.75" customHeight="1" x14ac:dyDescent="0.25">
      <c r="A45" s="67" t="s">
        <v>1098</v>
      </c>
      <c r="B45" s="197"/>
      <c r="C45" s="78">
        <f>'C2C'!C226</f>
        <v>1286469081.78</v>
      </c>
      <c r="D45" s="148">
        <f>'C2C'!D226</f>
        <v>1279646700</v>
      </c>
      <c r="E45" s="34">
        <f>'C2C'!E226</f>
        <v>1270749340.3399999</v>
      </c>
      <c r="F45" s="34">
        <f>'C2C'!F226</f>
        <v>84821533.879999995</v>
      </c>
      <c r="G45" s="34">
        <f>'C2C'!G226</f>
        <v>1102068901.29</v>
      </c>
      <c r="H45" s="34">
        <f>'C2C'!H226</f>
        <v>1083511333.5999999</v>
      </c>
      <c r="I45" s="34">
        <f t="shared" si="8"/>
        <v>18557567.690000057</v>
      </c>
      <c r="J45" s="101">
        <f t="shared" si="9"/>
        <v>1.712724834021068E-2</v>
      </c>
      <c r="K45" s="78">
        <f>'C2C'!K226</f>
        <v>1270749340.3399999</v>
      </c>
      <c r="Q45" s="49"/>
    </row>
    <row r="46" spans="1:17" ht="12.75" customHeight="1" x14ac:dyDescent="0.25">
      <c r="A46" s="67" t="s">
        <v>101</v>
      </c>
      <c r="B46" s="197"/>
      <c r="C46" s="236">
        <f>'C2C'!C230</f>
        <v>336417998.94999993</v>
      </c>
      <c r="D46" s="238">
        <f>'C2C'!D230</f>
        <v>347627800</v>
      </c>
      <c r="E46" s="239">
        <f>'C2C'!E230</f>
        <v>351521681.99000001</v>
      </c>
      <c r="F46" s="239">
        <f>'C2C'!F230</f>
        <v>23416977.940000001</v>
      </c>
      <c r="G46" s="239">
        <f>'C2C'!G230</f>
        <v>282612635.48000002</v>
      </c>
      <c r="H46" s="239">
        <f>'C2C'!H230</f>
        <v>295491976.12</v>
      </c>
      <c r="I46" s="34">
        <f t="shared" si="8"/>
        <v>-12879340.639999986</v>
      </c>
      <c r="J46" s="101">
        <f t="shared" si="9"/>
        <v>-4.3586092621241447E-2</v>
      </c>
      <c r="K46" s="240">
        <f>'C2C'!K230</f>
        <v>351521681.99000001</v>
      </c>
      <c r="Q46" s="49"/>
    </row>
    <row r="47" spans="1:17" ht="12.75" customHeight="1" x14ac:dyDescent="0.25">
      <c r="A47" s="67" t="s">
        <v>102</v>
      </c>
      <c r="B47" s="197"/>
      <c r="C47" s="78">
        <f>'C2C'!C235</f>
        <v>191321392.49000001</v>
      </c>
      <c r="D47" s="148">
        <f>'C2C'!D235</f>
        <v>211812900</v>
      </c>
      <c r="E47" s="34">
        <f>'C2C'!E235</f>
        <v>204458298.66999999</v>
      </c>
      <c r="F47" s="34">
        <f>'C2C'!F235</f>
        <v>14205093.34</v>
      </c>
      <c r="G47" s="34">
        <f>'C2C'!G235</f>
        <v>160868101.75</v>
      </c>
      <c r="H47" s="34">
        <f>'C2C'!H235</f>
        <v>163405041.42000002</v>
      </c>
      <c r="I47" s="34">
        <f t="shared" si="8"/>
        <v>-2536939.6700000167</v>
      </c>
      <c r="J47" s="101">
        <f t="shared" si="9"/>
        <v>-1.5525467561795233E-2</v>
      </c>
      <c r="K47" s="78">
        <f>'C2C'!K235</f>
        <v>204458298.66999999</v>
      </c>
      <c r="Q47" s="49"/>
    </row>
    <row r="48" spans="1:17" ht="12.75" customHeight="1" x14ac:dyDescent="0.25">
      <c r="A48" s="311" t="s">
        <v>666</v>
      </c>
      <c r="B48" s="197"/>
      <c r="C48" s="96">
        <f>'C2C'!C240</f>
        <v>29409120.779999997</v>
      </c>
      <c r="D48" s="149">
        <f>'C2C'!D240</f>
        <v>33299900</v>
      </c>
      <c r="E48" s="38">
        <f>'C2C'!E240</f>
        <v>35612790.549999997</v>
      </c>
      <c r="F48" s="38">
        <f>'C2C'!F240</f>
        <v>2072927.32</v>
      </c>
      <c r="G48" s="38">
        <f>'C2C'!G240</f>
        <v>27401457.41</v>
      </c>
      <c r="H48" s="38">
        <f>'C2C'!H240</f>
        <v>29288866.010000002</v>
      </c>
      <c r="I48" s="38">
        <f t="shared" si="8"/>
        <v>-1887408.6000000015</v>
      </c>
      <c r="J48" s="249">
        <f t="shared" si="9"/>
        <v>-6.4441163388012007E-2</v>
      </c>
      <c r="K48" s="96">
        <f>'C2C'!K240</f>
        <v>35612790.549999997</v>
      </c>
      <c r="Q48" s="49"/>
    </row>
    <row r="49" spans="1:17" ht="12.75" customHeight="1" x14ac:dyDescent="0.25">
      <c r="A49" s="62" t="s">
        <v>1112</v>
      </c>
      <c r="B49" s="194">
        <v>3</v>
      </c>
      <c r="C49" s="312">
        <f>C29+C33+C39+C43+C48</f>
        <v>5256459078.2799997</v>
      </c>
      <c r="D49" s="150">
        <f t="shared" ref="D49:I49" si="13">D29+D33+D39+D43+D48</f>
        <v>5589918300</v>
      </c>
      <c r="E49" s="52">
        <f t="shared" si="13"/>
        <v>5623917106.250001</v>
      </c>
      <c r="F49" s="52">
        <f t="shared" si="13"/>
        <v>380803362.14999998</v>
      </c>
      <c r="G49" s="52">
        <f t="shared" si="13"/>
        <v>4535002739.8299999</v>
      </c>
      <c r="H49" s="52">
        <f t="shared" si="13"/>
        <v>4582997169.0500002</v>
      </c>
      <c r="I49" s="52">
        <f t="shared" si="13"/>
        <v>-47994429.219999738</v>
      </c>
      <c r="J49" s="233">
        <f t="shared" si="9"/>
        <v>-1.0472279918503288E-2</v>
      </c>
      <c r="K49" s="256">
        <f>K29+K33+K39+K43+K48</f>
        <v>5623917106.250001</v>
      </c>
      <c r="Q49" s="54"/>
    </row>
    <row r="50" spans="1:17" ht="12.75" customHeight="1" x14ac:dyDescent="0.25">
      <c r="A50" s="63" t="s">
        <v>824</v>
      </c>
      <c r="B50" s="199"/>
      <c r="C50" s="71">
        <f t="shared" ref="C50:H50" si="14">C26-C49</f>
        <v>9550146.2500009537</v>
      </c>
      <c r="D50" s="154">
        <f t="shared" si="14"/>
        <v>228536500</v>
      </c>
      <c r="E50" s="55">
        <f t="shared" si="14"/>
        <v>-58869259.250000954</v>
      </c>
      <c r="F50" s="55">
        <f t="shared" si="14"/>
        <v>5309854.0799999833</v>
      </c>
      <c r="G50" s="55">
        <f t="shared" si="14"/>
        <v>82492701.569999695</v>
      </c>
      <c r="H50" s="55">
        <f t="shared" si="14"/>
        <v>40796831.729999542</v>
      </c>
      <c r="I50" s="55">
        <f>I26-I49</f>
        <v>41695869.839999638</v>
      </c>
      <c r="J50" s="235">
        <f>IF(I50=0,"",I50/H50)</f>
        <v>1.0220369590450082</v>
      </c>
      <c r="K50" s="128">
        <f>K26-K49</f>
        <v>-58869259.250000954</v>
      </c>
    </row>
    <row r="51" spans="1:17" ht="11.25" customHeight="1" x14ac:dyDescent="0.25">
      <c r="A51" s="313" t="str">
        <f>head27a</f>
        <v>References</v>
      </c>
      <c r="B51" s="44"/>
      <c r="C51" s="314"/>
      <c r="D51" s="314"/>
      <c r="E51" s="314"/>
      <c r="F51" s="314"/>
      <c r="G51" s="314"/>
      <c r="H51" s="314"/>
      <c r="I51" s="314"/>
      <c r="J51" s="314"/>
      <c r="K51" s="314"/>
    </row>
    <row r="52" spans="1:17" ht="11.25" customHeight="1" x14ac:dyDescent="0.25">
      <c r="A52" s="73" t="s">
        <v>121</v>
      </c>
      <c r="B52" s="44"/>
      <c r="C52" s="314"/>
      <c r="D52" s="314"/>
      <c r="E52" s="314"/>
      <c r="F52" s="314"/>
      <c r="G52" s="314"/>
      <c r="H52" s="314"/>
      <c r="I52" s="314"/>
      <c r="J52" s="314"/>
      <c r="K52" s="314"/>
    </row>
    <row r="53" spans="1:17" ht="11.25" customHeight="1" x14ac:dyDescent="0.25">
      <c r="A53" s="315" t="s">
        <v>1113</v>
      </c>
      <c r="B53" s="44"/>
      <c r="C53" s="314"/>
      <c r="D53" s="314"/>
      <c r="E53" s="314"/>
      <c r="F53" s="314"/>
      <c r="G53" s="314"/>
      <c r="H53" s="314"/>
      <c r="I53" s="314"/>
      <c r="J53" s="314"/>
      <c r="K53" s="314"/>
    </row>
    <row r="54" spans="1:17" ht="11.25" customHeight="1" x14ac:dyDescent="0.25">
      <c r="A54" s="73" t="s">
        <v>1114</v>
      </c>
      <c r="B54" s="44"/>
      <c r="C54" s="314"/>
      <c r="D54" s="314"/>
      <c r="E54" s="314"/>
      <c r="F54" s="314"/>
      <c r="G54" s="314"/>
      <c r="H54" s="314"/>
      <c r="I54" s="314"/>
      <c r="J54" s="314"/>
      <c r="K54" s="314"/>
    </row>
    <row r="55" spans="1:17" ht="27.75" customHeight="1" x14ac:dyDescent="0.25">
      <c r="A55" s="840" t="s">
        <v>1115</v>
      </c>
      <c r="B55" s="840"/>
      <c r="C55" s="840"/>
      <c r="D55" s="840"/>
      <c r="E55" s="840"/>
      <c r="F55" s="840"/>
      <c r="G55" s="840"/>
      <c r="H55" s="840"/>
      <c r="I55" s="840"/>
      <c r="J55" s="840"/>
      <c r="K55" s="840"/>
    </row>
    <row r="56" spans="1:17" ht="11.25" customHeight="1" x14ac:dyDescent="0.25">
      <c r="A56" s="73"/>
      <c r="B56" s="73"/>
      <c r="C56" s="73"/>
      <c r="D56" s="73"/>
      <c r="E56" s="73"/>
      <c r="F56" s="73"/>
      <c r="G56" s="73"/>
      <c r="H56" s="73"/>
      <c r="I56" s="73"/>
      <c r="J56" s="73"/>
      <c r="K56" s="73"/>
    </row>
    <row r="57" spans="1:17" ht="11.25" customHeight="1" x14ac:dyDescent="0.25">
      <c r="A57" s="19"/>
      <c r="B57" s="19"/>
      <c r="C57" s="19"/>
      <c r="D57" s="19"/>
      <c r="E57" s="19"/>
      <c r="F57" s="19"/>
      <c r="G57" s="19"/>
      <c r="H57" s="19"/>
      <c r="I57" s="19"/>
      <c r="J57" s="19"/>
      <c r="K57" s="19"/>
    </row>
    <row r="58" spans="1:17" ht="11.25" customHeight="1" x14ac:dyDescent="0.25">
      <c r="A58" s="19"/>
      <c r="B58" s="19"/>
      <c r="C58" s="19"/>
      <c r="D58" s="19"/>
      <c r="E58" s="19"/>
      <c r="F58" s="19"/>
      <c r="G58" s="19"/>
      <c r="H58" s="19"/>
      <c r="I58" s="19"/>
      <c r="J58" s="19"/>
      <c r="K58" s="19"/>
    </row>
    <row r="59" spans="1:17" ht="11.25" customHeight="1" x14ac:dyDescent="0.25">
      <c r="A59" s="45"/>
      <c r="B59" s="44"/>
      <c r="C59" s="234"/>
      <c r="D59" s="234"/>
      <c r="E59" s="234"/>
      <c r="F59" s="234"/>
      <c r="G59" s="234"/>
      <c r="H59" s="234"/>
      <c r="I59" s="234"/>
      <c r="J59" s="234"/>
      <c r="K59" s="234"/>
    </row>
    <row r="60" spans="1:17" ht="11.25" customHeight="1" x14ac:dyDescent="0.25">
      <c r="A60" s="45"/>
      <c r="B60" s="44"/>
      <c r="C60" s="234"/>
      <c r="D60" s="234"/>
      <c r="E60" s="234"/>
      <c r="F60" s="234"/>
      <c r="G60" s="234"/>
      <c r="H60" s="234"/>
      <c r="I60" s="234"/>
      <c r="J60" s="234"/>
      <c r="K60" s="234"/>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mergeCells count="4">
    <mergeCell ref="B2:B3"/>
    <mergeCell ref="A2:A3"/>
    <mergeCell ref="A1:K1"/>
    <mergeCell ref="A55:K55"/>
  </mergeCells>
  <phoneticPr fontId="2" type="noConversion"/>
  <printOptions horizontalCentered="1"/>
  <pageMargins left="0.15748031496062992" right="0.15748031496062992" top="0.78740157480314965" bottom="0.59055118110236227" header="0.51181102362204722" footer="0.39370078740157483"/>
  <pageSetup paperSize="8" scale="110" orientation="portrait" r:id="rId1"/>
  <headerFooter alignWithMargins="0">
    <oddFooter>&amp;L&amp;F&amp;C&amp;A&amp;R&amp;D</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zoomScaleNormal="100" workbookViewId="0">
      <pane xSplit="2" ySplit="4" topLeftCell="C5" activePane="bottomRight" state="frozen"/>
      <selection pane="topRight"/>
      <selection pane="bottomLeft"/>
      <selection pane="bottomRight" sqref="A1:K1"/>
    </sheetView>
  </sheetViews>
  <sheetFormatPr defaultColWidth="9.28515625" defaultRowHeight="13.5" x14ac:dyDescent="0.25"/>
  <cols>
    <col min="1" max="1" width="48.7109375" style="21" customWidth="1"/>
    <col min="2" max="2" width="3" style="47" customWidth="1"/>
    <col min="3" max="11" width="9.28515625" style="21" customWidth="1"/>
    <col min="12" max="12" width="9.5703125" style="21" customWidth="1"/>
    <col min="13" max="16384" width="9.28515625" style="322"/>
  </cols>
  <sheetData>
    <row r="1" spans="1:12" x14ac:dyDescent="0.25">
      <c r="A1" s="839" t="str">
        <f>muni&amp; " - "&amp;S71A&amp; " - "&amp;date</f>
        <v>KZN282 uMhlathuze - Table C2 Monthly Budget Statement - Financial Performance (functional classification) - M10 April</v>
      </c>
      <c r="B1" s="839"/>
      <c r="C1" s="839"/>
      <c r="D1" s="839"/>
      <c r="E1" s="839"/>
      <c r="F1" s="839"/>
      <c r="G1" s="839"/>
      <c r="H1" s="839"/>
      <c r="I1" s="839"/>
      <c r="J1" s="839"/>
      <c r="K1" s="839"/>
    </row>
    <row r="2" spans="1:12" ht="13.5" customHeight="1" x14ac:dyDescent="0.25">
      <c r="A2" s="837" t="str">
        <f>desc</f>
        <v>Description</v>
      </c>
      <c r="B2" s="835" t="str">
        <f>head27</f>
        <v>Ref</v>
      </c>
      <c r="C2" s="20" t="str">
        <f>Head1</f>
        <v>2023/24</v>
      </c>
      <c r="D2" s="126" t="str">
        <f>Head2</f>
        <v>Budget Year 2024/25</v>
      </c>
      <c r="E2" s="124"/>
      <c r="F2" s="124"/>
      <c r="G2" s="124"/>
      <c r="H2" s="124"/>
      <c r="I2" s="124"/>
      <c r="J2" s="124"/>
      <c r="K2" s="125"/>
    </row>
    <row r="3" spans="1:12" ht="25.5" x14ac:dyDescent="0.25">
      <c r="A3" s="838"/>
      <c r="B3" s="836"/>
      <c r="C3" s="23" t="str">
        <f>Head5</f>
        <v>Audited Outcome</v>
      </c>
      <c r="D3" s="80" t="str">
        <f>Head6</f>
        <v>Original Budget</v>
      </c>
      <c r="E3" s="22" t="str">
        <f>Head7</f>
        <v>Adjusted Budget</v>
      </c>
      <c r="F3" s="22" t="str">
        <f>Head38</f>
        <v>Monthly actual</v>
      </c>
      <c r="G3" s="22" t="str">
        <f>Head39</f>
        <v>YearTD actual</v>
      </c>
      <c r="H3" s="22" t="str">
        <f>Head40</f>
        <v>YearTD budget</v>
      </c>
      <c r="I3" s="22" t="str">
        <f>Head41</f>
        <v>YTD variance</v>
      </c>
      <c r="J3" s="323" t="str">
        <f>Head41</f>
        <v>YTD variance</v>
      </c>
      <c r="K3" s="95" t="str">
        <f>Head8</f>
        <v>Full Year Forecast</v>
      </c>
    </row>
    <row r="4" spans="1:12" x14ac:dyDescent="0.25">
      <c r="A4" s="28" t="s">
        <v>615</v>
      </c>
      <c r="B4" s="196">
        <v>1</v>
      </c>
      <c r="C4" s="195"/>
      <c r="D4" s="134"/>
      <c r="E4" s="135"/>
      <c r="F4" s="57"/>
      <c r="G4" s="57"/>
      <c r="H4" s="57"/>
      <c r="I4" s="57"/>
      <c r="J4" s="324" t="s">
        <v>528</v>
      </c>
      <c r="K4" s="120"/>
    </row>
    <row r="5" spans="1:12" s="285" customFormat="1" x14ac:dyDescent="0.25">
      <c r="A5" s="29" t="s">
        <v>1039</v>
      </c>
      <c r="B5" s="197"/>
      <c r="C5" s="726"/>
      <c r="D5" s="378"/>
      <c r="E5" s="325"/>
      <c r="F5" s="325"/>
      <c r="G5" s="325"/>
      <c r="H5" s="325"/>
      <c r="I5" s="325"/>
      <c r="J5" s="325"/>
      <c r="K5" s="121"/>
      <c r="L5" s="21"/>
    </row>
    <row r="6" spans="1:12" s="285" customFormat="1" x14ac:dyDescent="0.25">
      <c r="A6" s="311" t="s">
        <v>141</v>
      </c>
      <c r="B6" s="197"/>
      <c r="C6" s="591">
        <f t="shared" ref="C6:H6" si="0">C7+C10+C24</f>
        <v>954040458.06000018</v>
      </c>
      <c r="D6" s="53">
        <f t="shared" si="0"/>
        <v>1071137500</v>
      </c>
      <c r="E6" s="52">
        <f t="shared" si="0"/>
        <v>1074937347</v>
      </c>
      <c r="F6" s="52">
        <f t="shared" si="0"/>
        <v>65501293.950000003</v>
      </c>
      <c r="G6" s="52">
        <f t="shared" si="0"/>
        <v>922879677.04999995</v>
      </c>
      <c r="H6" s="52">
        <f t="shared" si="0"/>
        <v>931283702.07000005</v>
      </c>
      <c r="I6" s="85">
        <f t="shared" ref="I6:I69" si="1">G6-H6</f>
        <v>-8404025.0200001001</v>
      </c>
      <c r="J6" s="326">
        <f t="shared" ref="J6:J19" si="2">IF(I6=0,"",I6/H6)</f>
        <v>-9.0241298127736493E-3</v>
      </c>
      <c r="K6" s="79">
        <f>K7+K10+K24</f>
        <v>1074937347</v>
      </c>
      <c r="L6" s="21"/>
    </row>
    <row r="7" spans="1:12" s="285" customFormat="1" x14ac:dyDescent="0.25">
      <c r="A7" s="327" t="s">
        <v>91</v>
      </c>
      <c r="B7" s="197"/>
      <c r="C7" s="727">
        <f>SUM(C8:C9)</f>
        <v>1399221.37</v>
      </c>
      <c r="D7" s="597">
        <f t="shared" ref="D7:K7" si="3">SUM(D8:D9)</f>
        <v>805200</v>
      </c>
      <c r="E7" s="328">
        <f t="shared" si="3"/>
        <v>806000</v>
      </c>
      <c r="F7" s="328">
        <f t="shared" si="3"/>
        <v>104079.02</v>
      </c>
      <c r="G7" s="328">
        <f t="shared" si="3"/>
        <v>1568720.01</v>
      </c>
      <c r="H7" s="328">
        <f t="shared" si="3"/>
        <v>1532062.68</v>
      </c>
      <c r="I7" s="85">
        <f t="shared" si="1"/>
        <v>36657.330000000075</v>
      </c>
      <c r="J7" s="326">
        <f t="shared" si="2"/>
        <v>2.392678216011376E-2</v>
      </c>
      <c r="K7" s="329">
        <f t="shared" si="3"/>
        <v>806000</v>
      </c>
      <c r="L7" s="21"/>
    </row>
    <row r="8" spans="1:12" s="285" customFormat="1" x14ac:dyDescent="0.25">
      <c r="A8" s="330" t="s">
        <v>142</v>
      </c>
      <c r="B8" s="197"/>
      <c r="C8" s="366">
        <f>-'C2Q'!B7</f>
        <v>851614.37</v>
      </c>
      <c r="D8" s="366">
        <f>-'C2Q'!C7</f>
        <v>532100</v>
      </c>
      <c r="E8" s="331">
        <f>-'C2Q'!D7</f>
        <v>532100</v>
      </c>
      <c r="F8" s="331">
        <f>-'C2Q'!E7</f>
        <v>81314.27</v>
      </c>
      <c r="G8" s="331">
        <f>-'C2Q'!F7</f>
        <v>1341156.8500000001</v>
      </c>
      <c r="H8" s="331">
        <f>-'C2Q'!G7</f>
        <v>1304084.18</v>
      </c>
      <c r="I8" s="85">
        <f t="shared" si="1"/>
        <v>37072.670000000158</v>
      </c>
      <c r="J8" s="326">
        <f t="shared" si="2"/>
        <v>2.8428126472633201E-2</v>
      </c>
      <c r="K8" s="332">
        <f>-'C2Q'!J7</f>
        <v>532100</v>
      </c>
      <c r="L8" s="21"/>
    </row>
    <row r="9" spans="1:12" s="285" customFormat="1" x14ac:dyDescent="0.25">
      <c r="A9" s="330" t="s">
        <v>1025</v>
      </c>
      <c r="B9" s="197"/>
      <c r="C9" s="366">
        <f>-'C2Q'!B8</f>
        <v>547607</v>
      </c>
      <c r="D9" s="366">
        <f>-'C2Q'!C8</f>
        <v>273100</v>
      </c>
      <c r="E9" s="331">
        <f>-'C2Q'!D8</f>
        <v>273900</v>
      </c>
      <c r="F9" s="331">
        <f>-'C2Q'!E8</f>
        <v>22764.75</v>
      </c>
      <c r="G9" s="331">
        <f>-'C2Q'!F8</f>
        <v>227563.16</v>
      </c>
      <c r="H9" s="331">
        <f>-'C2Q'!G8</f>
        <v>227978.5</v>
      </c>
      <c r="I9" s="85">
        <f t="shared" si="1"/>
        <v>-415.33999999999651</v>
      </c>
      <c r="J9" s="326">
        <f>IF(H9=0,"",I9/H9)</f>
        <v>-1.8218384628374891E-3</v>
      </c>
      <c r="K9" s="332">
        <f>-'C2Q'!J8</f>
        <v>273900</v>
      </c>
      <c r="L9" s="21"/>
    </row>
    <row r="10" spans="1:12" s="285" customFormat="1" x14ac:dyDescent="0.25">
      <c r="A10" s="327" t="s">
        <v>1026</v>
      </c>
      <c r="B10" s="197"/>
      <c r="C10" s="727">
        <f t="shared" ref="C10:H10" si="4">SUM(C11:C23)</f>
        <v>952542881.68000019</v>
      </c>
      <c r="D10" s="597">
        <f t="shared" si="4"/>
        <v>1070304900</v>
      </c>
      <c r="E10" s="328">
        <f t="shared" si="4"/>
        <v>1074103847</v>
      </c>
      <c r="F10" s="328">
        <f t="shared" si="4"/>
        <v>65394939.93</v>
      </c>
      <c r="G10" s="328">
        <f t="shared" si="4"/>
        <v>921288207.03999996</v>
      </c>
      <c r="H10" s="328">
        <f t="shared" si="4"/>
        <v>929728746.5200001</v>
      </c>
      <c r="I10" s="85">
        <f t="shared" si="1"/>
        <v>-8440539.4800001383</v>
      </c>
      <c r="J10" s="326">
        <f t="shared" si="2"/>
        <v>-9.0784968321064672E-3</v>
      </c>
      <c r="K10" s="329">
        <f>SUM(K11:K23)</f>
        <v>1074103847</v>
      </c>
      <c r="L10" s="21"/>
    </row>
    <row r="11" spans="1:12" s="285" customFormat="1" x14ac:dyDescent="0.25">
      <c r="A11" s="330" t="s">
        <v>1027</v>
      </c>
      <c r="B11" s="197"/>
      <c r="C11" s="366">
        <f>-'C2Q'!B10</f>
        <v>1099019.3400000001</v>
      </c>
      <c r="D11" s="366">
        <f>-'C2Q'!C10</f>
        <v>532300</v>
      </c>
      <c r="E11" s="331">
        <f>-'C2Q'!D10</f>
        <v>532300</v>
      </c>
      <c r="F11" s="331">
        <f>-'C2Q'!E10</f>
        <v>44358.33</v>
      </c>
      <c r="G11" s="331">
        <f>-'C2Q'!F10</f>
        <v>443583.3</v>
      </c>
      <c r="H11" s="331">
        <f>-'C2Q'!G10</f>
        <v>443583.33</v>
      </c>
      <c r="I11" s="85">
        <f t="shared" si="1"/>
        <v>-3.0000000027939677E-2</v>
      </c>
      <c r="J11" s="326">
        <f>IF(H11=0,"",I11/H11)</f>
        <v>-6.7631035701769219E-8</v>
      </c>
      <c r="K11" s="332">
        <f>-'C2Q'!J10</f>
        <v>532300</v>
      </c>
      <c r="L11" s="21"/>
    </row>
    <row r="12" spans="1:12" s="285" customFormat="1" x14ac:dyDescent="0.25">
      <c r="A12" s="330" t="s">
        <v>1028</v>
      </c>
      <c r="B12" s="197"/>
      <c r="C12" s="366">
        <f>-'C2Q'!B11</f>
        <v>108944.24</v>
      </c>
      <c r="D12" s="366">
        <f>-'C2Q'!C11</f>
        <v>68200</v>
      </c>
      <c r="E12" s="331">
        <f>-'C2Q'!D11</f>
        <v>68200</v>
      </c>
      <c r="F12" s="331">
        <f>-'C2Q'!E11</f>
        <v>5683.33</v>
      </c>
      <c r="G12" s="331">
        <f>-'C2Q'!F11</f>
        <v>56833.3</v>
      </c>
      <c r="H12" s="331">
        <f>-'C2Q'!G11</f>
        <v>56833.33</v>
      </c>
      <c r="I12" s="85">
        <f t="shared" si="1"/>
        <v>-2.9999999998835847E-2</v>
      </c>
      <c r="J12" s="326">
        <f>IF(H12=0,"",I12/H12)</f>
        <v>-5.278592684756611E-7</v>
      </c>
      <c r="K12" s="332">
        <f>-'C2Q'!J11</f>
        <v>68200</v>
      </c>
      <c r="L12" s="21"/>
    </row>
    <row r="13" spans="1:12" s="285" customFormat="1" x14ac:dyDescent="0.25">
      <c r="A13" s="330" t="s">
        <v>1029</v>
      </c>
      <c r="B13" s="197"/>
      <c r="C13" s="366">
        <f>-'C2Q'!B12</f>
        <v>937995022.14999998</v>
      </c>
      <c r="D13" s="366">
        <f>-'C2Q'!C12</f>
        <v>1057620100</v>
      </c>
      <c r="E13" s="331">
        <f>-'C2Q'!D12</f>
        <v>1060310947</v>
      </c>
      <c r="F13" s="331">
        <f>-'C2Q'!E12</f>
        <v>64554288</v>
      </c>
      <c r="G13" s="331">
        <f>-'C2Q'!F12</f>
        <v>908596183.09000003</v>
      </c>
      <c r="H13" s="331">
        <f>-'C2Q'!G12</f>
        <v>919999005.01999998</v>
      </c>
      <c r="I13" s="85">
        <f t="shared" si="1"/>
        <v>-11402821.929999948</v>
      </c>
      <c r="J13" s="326">
        <f t="shared" si="2"/>
        <v>-1.2394385067570872E-2</v>
      </c>
      <c r="K13" s="332">
        <f>-'C2Q'!J12</f>
        <v>1060310947</v>
      </c>
      <c r="L13" s="21"/>
    </row>
    <row r="14" spans="1:12" s="285" customFormat="1" x14ac:dyDescent="0.25">
      <c r="A14" s="330" t="s">
        <v>1030</v>
      </c>
      <c r="B14" s="197"/>
      <c r="C14" s="366">
        <f>-'C2Q'!B13</f>
        <v>2952174.83</v>
      </c>
      <c r="D14" s="366">
        <f>-'C2Q'!C13</f>
        <v>3215000</v>
      </c>
      <c r="E14" s="331">
        <f>-'C2Q'!D13</f>
        <v>3215000</v>
      </c>
      <c r="F14" s="331">
        <f>-'C2Q'!E13</f>
        <v>32983.33</v>
      </c>
      <c r="G14" s="331">
        <f>-'C2Q'!F13</f>
        <v>2194273.7999999998</v>
      </c>
      <c r="H14" s="331">
        <f>-'C2Q'!G13</f>
        <v>329833.33</v>
      </c>
      <c r="I14" s="85">
        <f t="shared" si="1"/>
        <v>1864440.4699999997</v>
      </c>
      <c r="J14" s="326">
        <f t="shared" si="2"/>
        <v>5.6526745492943347</v>
      </c>
      <c r="K14" s="332">
        <f>-'C2Q'!J13</f>
        <v>3215000</v>
      </c>
      <c r="L14" s="21"/>
    </row>
    <row r="15" spans="1:12" s="285" customFormat="1" x14ac:dyDescent="0.25">
      <c r="A15" s="330" t="s">
        <v>143</v>
      </c>
      <c r="B15" s="197"/>
      <c r="C15" s="366">
        <f>-'C2Q'!B14</f>
        <v>2878898.02</v>
      </c>
      <c r="D15" s="366">
        <f>-'C2Q'!C14</f>
        <v>1586600</v>
      </c>
      <c r="E15" s="331">
        <f>-'C2Q'!D14</f>
        <v>1584800</v>
      </c>
      <c r="F15" s="331">
        <f>-'C2Q'!E14</f>
        <v>53465.47</v>
      </c>
      <c r="G15" s="331">
        <f>-'C2Q'!F14</f>
        <v>1264381.74</v>
      </c>
      <c r="H15" s="331">
        <f>-'C2Q'!G14</f>
        <v>1238030.6100000001</v>
      </c>
      <c r="I15" s="85">
        <f t="shared" si="1"/>
        <v>26351.129999999888</v>
      </c>
      <c r="J15" s="326">
        <f t="shared" si="2"/>
        <v>2.1284716053991497E-2</v>
      </c>
      <c r="K15" s="332">
        <f>-'C2Q'!J14</f>
        <v>1584800</v>
      </c>
      <c r="L15" s="21"/>
    </row>
    <row r="16" spans="1:12" s="285" customFormat="1" x14ac:dyDescent="0.25">
      <c r="A16" s="330" t="s">
        <v>144</v>
      </c>
      <c r="B16" s="197"/>
      <c r="C16" s="366">
        <f>-'C2Q'!B15</f>
        <v>582966.48</v>
      </c>
      <c r="D16" s="366">
        <f>-'C2Q'!C15</f>
        <v>813500</v>
      </c>
      <c r="E16" s="331">
        <f>-'C2Q'!D15</f>
        <v>946200</v>
      </c>
      <c r="F16" s="331">
        <f>-'C2Q'!E15</f>
        <v>122608.34</v>
      </c>
      <c r="G16" s="331">
        <f>-'C2Q'!F15</f>
        <v>317083.40000000002</v>
      </c>
      <c r="H16" s="331">
        <f>-'C2Q'!G15</f>
        <v>216169.08</v>
      </c>
      <c r="I16" s="85">
        <f t="shared" si="1"/>
        <v>100914.32000000004</v>
      </c>
      <c r="J16" s="326">
        <f t="shared" si="2"/>
        <v>0.46683050138345428</v>
      </c>
      <c r="K16" s="332">
        <f>-'C2Q'!J15</f>
        <v>946200</v>
      </c>
      <c r="L16" s="21"/>
    </row>
    <row r="17" spans="1:12" s="285" customFormat="1" x14ac:dyDescent="0.25">
      <c r="A17" s="330" t="s">
        <v>1031</v>
      </c>
      <c r="B17" s="197"/>
      <c r="C17" s="366">
        <f>-'C2Q'!B16</f>
        <v>195317.97</v>
      </c>
      <c r="D17" s="366">
        <f>-'C2Q'!C16</f>
        <v>96000</v>
      </c>
      <c r="E17" s="331">
        <f>-'C2Q'!D16</f>
        <v>96200</v>
      </c>
      <c r="F17" s="331">
        <f>-'C2Q'!E16</f>
        <v>7958.34</v>
      </c>
      <c r="G17" s="331">
        <f>-'C2Q'!F16</f>
        <v>79583.399999999994</v>
      </c>
      <c r="H17" s="331">
        <f>-'C2Q'!G16</f>
        <v>79669.08</v>
      </c>
      <c r="I17" s="85">
        <f t="shared" si="1"/>
        <v>-85.680000000007567</v>
      </c>
      <c r="J17" s="326">
        <f>IF(H17=0,"",I17/H17)</f>
        <v>-1.0754485931054754E-3</v>
      </c>
      <c r="K17" s="332">
        <f>-'C2Q'!J16</f>
        <v>96200</v>
      </c>
      <c r="L17" s="21"/>
    </row>
    <row r="18" spans="1:12" s="285" customFormat="1" ht="22.5" x14ac:dyDescent="0.25">
      <c r="A18" s="330" t="s">
        <v>1032</v>
      </c>
      <c r="B18" s="197"/>
      <c r="C18" s="366">
        <f>-'C2Q'!B17</f>
        <v>2766273.72</v>
      </c>
      <c r="D18" s="366">
        <f>-'C2Q'!C17</f>
        <v>3106200</v>
      </c>
      <c r="E18" s="331">
        <f>-'C2Q'!D17</f>
        <v>3435300</v>
      </c>
      <c r="F18" s="331">
        <f>-'C2Q'!E17</f>
        <v>412574.67</v>
      </c>
      <c r="G18" s="331">
        <f>-'C2Q'!F17</f>
        <v>3191636.77</v>
      </c>
      <c r="H18" s="331">
        <f>-'C2Q'!G17</f>
        <v>2350807.7999999998</v>
      </c>
      <c r="I18" s="85">
        <f t="shared" si="1"/>
        <v>840828.9700000002</v>
      </c>
      <c r="J18" s="326">
        <f t="shared" si="2"/>
        <v>0.35767661226919539</v>
      </c>
      <c r="K18" s="332">
        <f>-'C2Q'!J17</f>
        <v>3435300</v>
      </c>
      <c r="L18" s="21"/>
    </row>
    <row r="19" spans="1:12" s="285" customFormat="1" x14ac:dyDescent="0.25">
      <c r="A19" s="330" t="s">
        <v>145</v>
      </c>
      <c r="B19" s="197"/>
      <c r="C19" s="366">
        <f>-'C2Q'!B18</f>
        <v>431787.13</v>
      </c>
      <c r="D19" s="366">
        <f>-'C2Q'!C18</f>
        <v>464700</v>
      </c>
      <c r="E19" s="331">
        <f>-'C2Q'!D18</f>
        <v>464700</v>
      </c>
      <c r="F19" s="331">
        <f>-'C2Q'!E18</f>
        <v>36286.32</v>
      </c>
      <c r="G19" s="331">
        <f>-'C2Q'!F18</f>
        <v>360363.59</v>
      </c>
      <c r="H19" s="331">
        <f>-'C2Q'!G18</f>
        <v>364218.07</v>
      </c>
      <c r="I19" s="85">
        <f t="shared" si="1"/>
        <v>-3854.4799999999814</v>
      </c>
      <c r="J19" s="326">
        <f t="shared" si="2"/>
        <v>-1.0582890629232046E-2</v>
      </c>
      <c r="K19" s="332">
        <f>-'C2Q'!J18</f>
        <v>464700</v>
      </c>
      <c r="L19" s="21"/>
    </row>
    <row r="20" spans="1:12" s="285" customFormat="1" x14ac:dyDescent="0.25">
      <c r="A20" s="330" t="s">
        <v>1033</v>
      </c>
      <c r="B20" s="197"/>
      <c r="C20" s="366">
        <f>-'C2Q'!B19</f>
        <v>80453.100000000006</v>
      </c>
      <c r="D20" s="366">
        <f>-'C2Q'!C19</f>
        <v>27400</v>
      </c>
      <c r="E20" s="331">
        <f>-'C2Q'!D19</f>
        <v>27500</v>
      </c>
      <c r="F20" s="331">
        <f>-'C2Q'!E19</f>
        <v>2275</v>
      </c>
      <c r="G20" s="331">
        <f>-'C2Q'!F19</f>
        <v>22773.07</v>
      </c>
      <c r="H20" s="331">
        <f>-'C2Q'!G19</f>
        <v>22915.94</v>
      </c>
      <c r="I20" s="85">
        <f t="shared" si="1"/>
        <v>-142.86999999999898</v>
      </c>
      <c r="J20" s="326">
        <f>IF(H20=0,"",I20/H20)</f>
        <v>-6.2345249638460819E-3</v>
      </c>
      <c r="K20" s="332">
        <f>-'C2Q'!J19</f>
        <v>27500</v>
      </c>
      <c r="L20" s="21"/>
    </row>
    <row r="21" spans="1:12" s="285" customFormat="1" x14ac:dyDescent="0.25">
      <c r="A21" s="330" t="s">
        <v>1034</v>
      </c>
      <c r="B21" s="197"/>
      <c r="C21" s="366">
        <f>-'C2Q'!B20</f>
        <v>852769.74</v>
      </c>
      <c r="D21" s="366">
        <f>-'C2Q'!C20</f>
        <v>427600</v>
      </c>
      <c r="E21" s="331">
        <f>-'C2Q'!D20</f>
        <v>427600</v>
      </c>
      <c r="F21" s="331">
        <f>-'C2Q'!E20</f>
        <v>35633.33</v>
      </c>
      <c r="G21" s="331">
        <f>-'C2Q'!F20</f>
        <v>356333.3</v>
      </c>
      <c r="H21" s="331">
        <f>-'C2Q'!G20</f>
        <v>356333.33</v>
      </c>
      <c r="I21" s="85">
        <f t="shared" si="1"/>
        <v>-3.0000000027939677E-2</v>
      </c>
      <c r="J21" s="326">
        <f t="shared" ref="J21:J84" si="5">IF(H21=0,"",I21/H21)</f>
        <v>-8.4190833419763673E-8</v>
      </c>
      <c r="K21" s="332">
        <f>-'C2Q'!J20</f>
        <v>427600</v>
      </c>
      <c r="L21" s="21"/>
    </row>
    <row r="22" spans="1:12" s="285" customFormat="1" x14ac:dyDescent="0.25">
      <c r="A22" s="330" t="s">
        <v>1035</v>
      </c>
      <c r="B22" s="197"/>
      <c r="C22" s="366">
        <f>-'C2Q'!B21</f>
        <v>2532974.44</v>
      </c>
      <c r="D22" s="366">
        <f>-'C2Q'!C21</f>
        <v>2319400</v>
      </c>
      <c r="E22" s="331">
        <f>-'C2Q'!D21</f>
        <v>2967100</v>
      </c>
      <c r="F22" s="331">
        <f>-'C2Q'!E21</f>
        <v>84550.47</v>
      </c>
      <c r="G22" s="331">
        <f>-'C2Q'!F21</f>
        <v>4382412.0999999996</v>
      </c>
      <c r="H22" s="331">
        <f>-'C2Q'!G21</f>
        <v>4248438.55</v>
      </c>
      <c r="I22" s="85">
        <f t="shared" si="1"/>
        <v>133973.54999999981</v>
      </c>
      <c r="J22" s="326">
        <f t="shared" si="5"/>
        <v>3.1534774111302566E-2</v>
      </c>
      <c r="K22" s="332">
        <f>-'C2Q'!J21</f>
        <v>2967100</v>
      </c>
      <c r="L22" s="21"/>
    </row>
    <row r="23" spans="1:12" s="285" customFormat="1" x14ac:dyDescent="0.25">
      <c r="A23" s="330" t="s">
        <v>1036</v>
      </c>
      <c r="B23" s="197"/>
      <c r="C23" s="366">
        <f>-'C2Q'!B22</f>
        <v>66280.52</v>
      </c>
      <c r="D23" s="366">
        <f>-'C2Q'!C22</f>
        <v>27900</v>
      </c>
      <c r="E23" s="331">
        <f>-'C2Q'!D22</f>
        <v>28000</v>
      </c>
      <c r="F23" s="331">
        <f>-'C2Q'!E22</f>
        <v>2275</v>
      </c>
      <c r="G23" s="331">
        <f>-'C2Q'!F22</f>
        <v>22766.18</v>
      </c>
      <c r="H23" s="331">
        <f>-'C2Q'!G22</f>
        <v>22909.05</v>
      </c>
      <c r="I23" s="85">
        <f t="shared" si="1"/>
        <v>-142.86999999999898</v>
      </c>
      <c r="J23" s="326">
        <f t="shared" si="5"/>
        <v>-6.2364000253174613E-3</v>
      </c>
      <c r="K23" s="332">
        <f>-'C2Q'!J22</f>
        <v>28000</v>
      </c>
      <c r="L23" s="21"/>
    </row>
    <row r="24" spans="1:12" s="285" customFormat="1" x14ac:dyDescent="0.25">
      <c r="A24" s="327" t="s">
        <v>1037</v>
      </c>
      <c r="B24" s="197"/>
      <c r="C24" s="727">
        <f t="shared" ref="C24:H24" si="6">SUM(C25:C25)</f>
        <v>98355.01</v>
      </c>
      <c r="D24" s="597">
        <f t="shared" si="6"/>
        <v>27400</v>
      </c>
      <c r="E24" s="328">
        <f t="shared" si="6"/>
        <v>27500</v>
      </c>
      <c r="F24" s="328">
        <f t="shared" si="6"/>
        <v>2275</v>
      </c>
      <c r="G24" s="328">
        <f t="shared" si="6"/>
        <v>22750</v>
      </c>
      <c r="H24" s="328">
        <f t="shared" si="6"/>
        <v>22892.87</v>
      </c>
      <c r="I24" s="85">
        <f t="shared" si="1"/>
        <v>-142.86999999999898</v>
      </c>
      <c r="J24" s="326">
        <f t="shared" si="5"/>
        <v>-6.2408077274714348E-3</v>
      </c>
      <c r="K24" s="329">
        <f>SUM(K25:K25)</f>
        <v>27500</v>
      </c>
      <c r="L24" s="21"/>
    </row>
    <row r="25" spans="1:12" s="285" customFormat="1" x14ac:dyDescent="0.25">
      <c r="A25" s="330" t="s">
        <v>1038</v>
      </c>
      <c r="B25" s="197"/>
      <c r="C25" s="366">
        <f>-'C2Q'!B24</f>
        <v>98355.01</v>
      </c>
      <c r="D25" s="366">
        <f>-'C2Q'!C24</f>
        <v>27400</v>
      </c>
      <c r="E25" s="331">
        <f>-'C2Q'!D24</f>
        <v>27500</v>
      </c>
      <c r="F25" s="331">
        <f>-'C2Q'!E24</f>
        <v>2275</v>
      </c>
      <c r="G25" s="331">
        <f>-'C2Q'!F24</f>
        <v>22750</v>
      </c>
      <c r="H25" s="331">
        <f>-'C2Q'!G24</f>
        <v>22892.87</v>
      </c>
      <c r="I25" s="85">
        <f t="shared" si="1"/>
        <v>-142.86999999999898</v>
      </c>
      <c r="J25" s="326">
        <f t="shared" si="5"/>
        <v>-6.2408077274714348E-3</v>
      </c>
      <c r="K25" s="332">
        <f>-'C2Q'!J24</f>
        <v>27500</v>
      </c>
      <c r="L25" s="21"/>
    </row>
    <row r="26" spans="1:12" s="285" customFormat="1" x14ac:dyDescent="0.25">
      <c r="A26" s="311" t="s">
        <v>92</v>
      </c>
      <c r="B26" s="197"/>
      <c r="C26" s="591">
        <f>C27+C49+C55+C64+C67</f>
        <v>194893423.76000002</v>
      </c>
      <c r="D26" s="53">
        <f t="shared" ref="D26:K26" si="7">D27+D49+D55+D64+D67</f>
        <v>113811000</v>
      </c>
      <c r="E26" s="52">
        <f t="shared" si="7"/>
        <v>123964400</v>
      </c>
      <c r="F26" s="52">
        <f t="shared" si="7"/>
        <v>15728027.030000001</v>
      </c>
      <c r="G26" s="52">
        <f t="shared" si="7"/>
        <v>83444730.340000004</v>
      </c>
      <c r="H26" s="52">
        <f t="shared" si="7"/>
        <v>84105677.610000014</v>
      </c>
      <c r="I26" s="85">
        <f t="shared" si="1"/>
        <v>-660947.27000001073</v>
      </c>
      <c r="J26" s="326">
        <f t="shared" si="5"/>
        <v>-7.8585333211966812E-3</v>
      </c>
      <c r="K26" s="79">
        <f t="shared" si="7"/>
        <v>123964400</v>
      </c>
      <c r="L26" s="21"/>
    </row>
    <row r="27" spans="1:12" s="285" customFormat="1" x14ac:dyDescent="0.25">
      <c r="A27" s="327" t="s">
        <v>93</v>
      </c>
      <c r="B27" s="197"/>
      <c r="C27" s="210">
        <f t="shared" ref="C27:H27" si="8">SUM(C28:C48)</f>
        <v>17439895.370000001</v>
      </c>
      <c r="D27" s="207">
        <f t="shared" si="8"/>
        <v>18143100</v>
      </c>
      <c r="E27" s="200">
        <f t="shared" si="8"/>
        <v>18094400</v>
      </c>
      <c r="F27" s="200">
        <f t="shared" si="8"/>
        <v>586739.96000000008</v>
      </c>
      <c r="G27" s="200">
        <f t="shared" si="8"/>
        <v>16810938.350000001</v>
      </c>
      <c r="H27" s="200">
        <f t="shared" si="8"/>
        <v>16217743.34</v>
      </c>
      <c r="I27" s="85">
        <f t="shared" si="1"/>
        <v>593195.01000000164</v>
      </c>
      <c r="J27" s="326">
        <f t="shared" si="5"/>
        <v>3.6576914405651313E-2</v>
      </c>
      <c r="K27" s="211">
        <f>SUM(K28:K48)</f>
        <v>18094400</v>
      </c>
      <c r="L27" s="21"/>
    </row>
    <row r="28" spans="1:12" s="285" customFormat="1" x14ac:dyDescent="0.25">
      <c r="A28" s="330" t="s">
        <v>147</v>
      </c>
      <c r="B28" s="197"/>
      <c r="C28" s="366">
        <f>-'C2Q'!B27</f>
        <v>0</v>
      </c>
      <c r="D28" s="366">
        <f>-'C2Q'!C27</f>
        <v>0</v>
      </c>
      <c r="E28" s="331">
        <f>-'C2Q'!D27</f>
        <v>0</v>
      </c>
      <c r="F28" s="331">
        <f>-'C2Q'!E27</f>
        <v>0</v>
      </c>
      <c r="G28" s="331">
        <f>-'C2Q'!F27</f>
        <v>0</v>
      </c>
      <c r="H28" s="331">
        <f>-'C2Q'!G27</f>
        <v>0</v>
      </c>
      <c r="I28" s="85">
        <f t="shared" si="1"/>
        <v>0</v>
      </c>
      <c r="J28" s="326" t="str">
        <f t="shared" si="5"/>
        <v/>
      </c>
      <c r="K28" s="332">
        <f>-'C2Q'!J27</f>
        <v>0</v>
      </c>
      <c r="L28" s="21"/>
    </row>
    <row r="29" spans="1:12" s="285" customFormat="1" x14ac:dyDescent="0.25">
      <c r="A29" s="330" t="s">
        <v>660</v>
      </c>
      <c r="B29" s="197"/>
      <c r="C29" s="366">
        <f>-'C2Q'!B28</f>
        <v>0</v>
      </c>
      <c r="D29" s="366">
        <f>-'C2Q'!C28</f>
        <v>0</v>
      </c>
      <c r="E29" s="331">
        <f>-'C2Q'!D28</f>
        <v>0</v>
      </c>
      <c r="F29" s="331">
        <f>-'C2Q'!E28</f>
        <v>0</v>
      </c>
      <c r="G29" s="331">
        <f>-'C2Q'!F28</f>
        <v>0</v>
      </c>
      <c r="H29" s="331">
        <f>-'C2Q'!G28</f>
        <v>0</v>
      </c>
      <c r="I29" s="85">
        <f t="shared" si="1"/>
        <v>0</v>
      </c>
      <c r="J29" s="326" t="str">
        <f t="shared" si="5"/>
        <v/>
      </c>
      <c r="K29" s="332">
        <f>-'C2Q'!J28</f>
        <v>0</v>
      </c>
      <c r="L29" s="21"/>
    </row>
    <row r="30" spans="1:12" s="285" customFormat="1" x14ac:dyDescent="0.25">
      <c r="A30" s="330" t="s">
        <v>1040</v>
      </c>
      <c r="B30" s="197"/>
      <c r="C30" s="366">
        <f>-'C2Q'!B29</f>
        <v>0</v>
      </c>
      <c r="D30" s="366">
        <f>-'C2Q'!C29</f>
        <v>0</v>
      </c>
      <c r="E30" s="331">
        <f>-'C2Q'!D29</f>
        <v>0</v>
      </c>
      <c r="F30" s="331">
        <f>-'C2Q'!E29</f>
        <v>0</v>
      </c>
      <c r="G30" s="331">
        <f>-'C2Q'!F29</f>
        <v>0</v>
      </c>
      <c r="H30" s="331">
        <f>-'C2Q'!G29</f>
        <v>0</v>
      </c>
      <c r="I30" s="85">
        <f t="shared" si="1"/>
        <v>0</v>
      </c>
      <c r="J30" s="326" t="str">
        <f t="shared" si="5"/>
        <v/>
      </c>
      <c r="K30" s="332">
        <f>-'C2Q'!J29</f>
        <v>0</v>
      </c>
      <c r="L30" s="21"/>
    </row>
    <row r="31" spans="1:12" s="285" customFormat="1" x14ac:dyDescent="0.25">
      <c r="A31" s="330" t="s">
        <v>1041</v>
      </c>
      <c r="B31" s="197"/>
      <c r="C31" s="366">
        <f>-'C2Q'!B30</f>
        <v>761756.9</v>
      </c>
      <c r="D31" s="366">
        <f>-'C2Q'!C30</f>
        <v>1001800</v>
      </c>
      <c r="E31" s="331">
        <f>-'C2Q'!D30</f>
        <v>851900</v>
      </c>
      <c r="F31" s="331">
        <f>-'C2Q'!E30</f>
        <v>46616.61</v>
      </c>
      <c r="G31" s="331">
        <f>-'C2Q'!F30</f>
        <v>541297.96</v>
      </c>
      <c r="H31" s="331">
        <f>-'C2Q'!G30</f>
        <v>574185.29</v>
      </c>
      <c r="I31" s="85">
        <f t="shared" si="1"/>
        <v>-32887.330000000075</v>
      </c>
      <c r="J31" s="326">
        <f t="shared" si="5"/>
        <v>-5.7276510862895973E-2</v>
      </c>
      <c r="K31" s="332">
        <f>-'C2Q'!J30</f>
        <v>851900</v>
      </c>
      <c r="L31" s="21"/>
    </row>
    <row r="32" spans="1:12" s="285" customFormat="1" x14ac:dyDescent="0.25">
      <c r="A32" s="330" t="s">
        <v>1042</v>
      </c>
      <c r="B32" s="197"/>
      <c r="C32" s="366">
        <f>-'C2Q'!B31</f>
        <v>0</v>
      </c>
      <c r="D32" s="366">
        <f>-'C2Q'!C31</f>
        <v>0</v>
      </c>
      <c r="E32" s="331">
        <f>-'C2Q'!D31</f>
        <v>0</v>
      </c>
      <c r="F32" s="331">
        <f>-'C2Q'!E31</f>
        <v>0</v>
      </c>
      <c r="G32" s="331">
        <f>-'C2Q'!F31</f>
        <v>0</v>
      </c>
      <c r="H32" s="331">
        <f>-'C2Q'!G31</f>
        <v>0</v>
      </c>
      <c r="I32" s="85">
        <f t="shared" si="1"/>
        <v>0</v>
      </c>
      <c r="J32" s="326" t="str">
        <f t="shared" si="5"/>
        <v/>
      </c>
      <c r="K32" s="332">
        <f>-'C2Q'!J31</f>
        <v>0</v>
      </c>
      <c r="L32" s="21"/>
    </row>
    <row r="33" spans="1:12" s="285" customFormat="1" x14ac:dyDescent="0.25">
      <c r="A33" s="330" t="s">
        <v>1043</v>
      </c>
      <c r="B33" s="197"/>
      <c r="C33" s="366">
        <f>-'C2Q'!B32</f>
        <v>2613192.7599999998</v>
      </c>
      <c r="D33" s="366">
        <f>-'C2Q'!C32</f>
        <v>2934600</v>
      </c>
      <c r="E33" s="331">
        <f>-'C2Q'!D32</f>
        <v>2934600</v>
      </c>
      <c r="F33" s="331">
        <f>-'C2Q'!E32</f>
        <v>145706.42000000001</v>
      </c>
      <c r="G33" s="331">
        <f>-'C2Q'!F32</f>
        <v>3121220.78</v>
      </c>
      <c r="H33" s="331">
        <f>-'C2Q'!G32</f>
        <v>3202760.24</v>
      </c>
      <c r="I33" s="85">
        <f t="shared" si="1"/>
        <v>-81539.460000000428</v>
      </c>
      <c r="J33" s="326">
        <f t="shared" si="5"/>
        <v>-2.5459120848833949E-2</v>
      </c>
      <c r="K33" s="332">
        <f>-'C2Q'!J32</f>
        <v>2934600</v>
      </c>
      <c r="L33" s="21"/>
    </row>
    <row r="34" spans="1:12" s="285" customFormat="1" x14ac:dyDescent="0.25">
      <c r="A34" s="330" t="s">
        <v>1044</v>
      </c>
      <c r="B34" s="197"/>
      <c r="C34" s="366">
        <f>-'C2Q'!B33</f>
        <v>0</v>
      </c>
      <c r="D34" s="366">
        <f>-'C2Q'!C33</f>
        <v>0</v>
      </c>
      <c r="E34" s="331">
        <f>-'C2Q'!D33</f>
        <v>0</v>
      </c>
      <c r="F34" s="331">
        <f>-'C2Q'!E33</f>
        <v>0</v>
      </c>
      <c r="G34" s="331">
        <f>-'C2Q'!F33</f>
        <v>0</v>
      </c>
      <c r="H34" s="331">
        <f>-'C2Q'!G33</f>
        <v>0</v>
      </c>
      <c r="I34" s="85">
        <f t="shared" si="1"/>
        <v>0</v>
      </c>
      <c r="J34" s="326" t="str">
        <f t="shared" si="5"/>
        <v/>
      </c>
      <c r="K34" s="332">
        <f>-'C2Q'!J33</f>
        <v>0</v>
      </c>
      <c r="L34" s="21"/>
    </row>
    <row r="35" spans="1:12" s="285" customFormat="1" x14ac:dyDescent="0.25">
      <c r="A35" s="330" t="s">
        <v>1045</v>
      </c>
      <c r="B35" s="197"/>
      <c r="C35" s="366">
        <f>-'C2Q'!B34</f>
        <v>22057.37</v>
      </c>
      <c r="D35" s="366">
        <f>-'C2Q'!C34</f>
        <v>10200</v>
      </c>
      <c r="E35" s="331">
        <f>-'C2Q'!D34</f>
        <v>10200</v>
      </c>
      <c r="F35" s="331">
        <f>-'C2Q'!E34</f>
        <v>850</v>
      </c>
      <c r="G35" s="331">
        <f>-'C2Q'!F34</f>
        <v>8500</v>
      </c>
      <c r="H35" s="331">
        <f>-'C2Q'!G34</f>
        <v>8500</v>
      </c>
      <c r="I35" s="85">
        <f t="shared" si="1"/>
        <v>0</v>
      </c>
      <c r="J35" s="326">
        <f t="shared" si="5"/>
        <v>0</v>
      </c>
      <c r="K35" s="332">
        <f>-'C2Q'!J34</f>
        <v>10200</v>
      </c>
      <c r="L35" s="21"/>
    </row>
    <row r="36" spans="1:12" s="285" customFormat="1" x14ac:dyDescent="0.25">
      <c r="A36" s="330" t="s">
        <v>1046</v>
      </c>
      <c r="B36" s="197"/>
      <c r="C36" s="366">
        <f>-'C2Q'!B35</f>
        <v>41314.74</v>
      </c>
      <c r="D36" s="366">
        <f>-'C2Q'!C35</f>
        <v>13600</v>
      </c>
      <c r="E36" s="331">
        <f>-'C2Q'!D35</f>
        <v>13800</v>
      </c>
      <c r="F36" s="331">
        <f>-'C2Q'!E35</f>
        <v>1133.3399999999999</v>
      </c>
      <c r="G36" s="331">
        <f>-'C2Q'!F35</f>
        <v>11333.4</v>
      </c>
      <c r="H36" s="331">
        <f>-'C2Q'!G35</f>
        <v>11419.08</v>
      </c>
      <c r="I36" s="85">
        <f t="shared" si="1"/>
        <v>-85.680000000000291</v>
      </c>
      <c r="J36" s="326">
        <f t="shared" si="5"/>
        <v>-7.503231433705718E-3</v>
      </c>
      <c r="K36" s="332">
        <f>-'C2Q'!J35</f>
        <v>13800</v>
      </c>
      <c r="L36" s="21"/>
    </row>
    <row r="37" spans="1:12" s="285" customFormat="1" x14ac:dyDescent="0.25">
      <c r="A37" s="330" t="s">
        <v>929</v>
      </c>
      <c r="B37" s="197"/>
      <c r="C37" s="366">
        <f>-'C2Q'!B36</f>
        <v>0</v>
      </c>
      <c r="D37" s="366">
        <f>-'C2Q'!C36</f>
        <v>0</v>
      </c>
      <c r="E37" s="331">
        <f>-'C2Q'!D36</f>
        <v>0</v>
      </c>
      <c r="F37" s="331">
        <f>-'C2Q'!E36</f>
        <v>0</v>
      </c>
      <c r="G37" s="331">
        <f>-'C2Q'!F36</f>
        <v>0</v>
      </c>
      <c r="H37" s="331">
        <f>-'C2Q'!G36</f>
        <v>0</v>
      </c>
      <c r="I37" s="85">
        <f t="shared" si="1"/>
        <v>0</v>
      </c>
      <c r="J37" s="326" t="str">
        <f t="shared" si="5"/>
        <v/>
      </c>
      <c r="K37" s="332">
        <f>-'C2Q'!J36</f>
        <v>0</v>
      </c>
      <c r="L37" s="21"/>
    </row>
    <row r="38" spans="1:12" s="285" customFormat="1" x14ac:dyDescent="0.25">
      <c r="A38" s="330" t="s">
        <v>1047</v>
      </c>
      <c r="B38" s="197"/>
      <c r="C38" s="366">
        <f>-'C2Q'!B37</f>
        <v>0</v>
      </c>
      <c r="D38" s="366">
        <f>-'C2Q'!C37</f>
        <v>0</v>
      </c>
      <c r="E38" s="331">
        <f>-'C2Q'!D37</f>
        <v>0</v>
      </c>
      <c r="F38" s="331">
        <f>-'C2Q'!E37</f>
        <v>0</v>
      </c>
      <c r="G38" s="331">
        <f>-'C2Q'!F37</f>
        <v>0</v>
      </c>
      <c r="H38" s="331">
        <f>-'C2Q'!G37</f>
        <v>0</v>
      </c>
      <c r="I38" s="85">
        <f t="shared" si="1"/>
        <v>0</v>
      </c>
      <c r="J38" s="326" t="str">
        <f t="shared" si="5"/>
        <v/>
      </c>
      <c r="K38" s="332">
        <f>-'C2Q'!J37</f>
        <v>0</v>
      </c>
      <c r="L38" s="21"/>
    </row>
    <row r="39" spans="1:12" s="285" customFormat="1" x14ac:dyDescent="0.25">
      <c r="A39" s="330" t="s">
        <v>1048</v>
      </c>
      <c r="B39" s="197"/>
      <c r="C39" s="366">
        <f>-'C2Q'!B38</f>
        <v>0</v>
      </c>
      <c r="D39" s="366">
        <f>-'C2Q'!C38</f>
        <v>0</v>
      </c>
      <c r="E39" s="331">
        <f>-'C2Q'!D38</f>
        <v>0</v>
      </c>
      <c r="F39" s="331">
        <f>-'C2Q'!E38</f>
        <v>0</v>
      </c>
      <c r="G39" s="331">
        <f>-'C2Q'!F38</f>
        <v>0</v>
      </c>
      <c r="H39" s="331">
        <f>-'C2Q'!G38</f>
        <v>0</v>
      </c>
      <c r="I39" s="85">
        <f t="shared" si="1"/>
        <v>0</v>
      </c>
      <c r="J39" s="326" t="str">
        <f t="shared" si="5"/>
        <v/>
      </c>
      <c r="K39" s="332">
        <f>-'C2Q'!J38</f>
        <v>0</v>
      </c>
      <c r="L39" s="21"/>
    </row>
    <row r="40" spans="1:12" s="285" customFormat="1" x14ac:dyDescent="0.25">
      <c r="A40" s="330" t="s">
        <v>1049</v>
      </c>
      <c r="B40" s="197"/>
      <c r="C40" s="366">
        <f>-'C2Q'!B39</f>
        <v>0</v>
      </c>
      <c r="D40" s="366">
        <f>-'C2Q'!C39</f>
        <v>0</v>
      </c>
      <c r="E40" s="331">
        <f>-'C2Q'!D39</f>
        <v>0</v>
      </c>
      <c r="F40" s="331">
        <f>-'C2Q'!E39</f>
        <v>0</v>
      </c>
      <c r="G40" s="331">
        <f>-'C2Q'!F39</f>
        <v>0</v>
      </c>
      <c r="H40" s="331">
        <f>-'C2Q'!G39</f>
        <v>0</v>
      </c>
      <c r="I40" s="85">
        <f t="shared" si="1"/>
        <v>0</v>
      </c>
      <c r="J40" s="326" t="str">
        <f t="shared" si="5"/>
        <v/>
      </c>
      <c r="K40" s="332">
        <f>-'C2Q'!J39</f>
        <v>0</v>
      </c>
      <c r="L40" s="21"/>
    </row>
    <row r="41" spans="1:12" s="285" customFormat="1" x14ac:dyDescent="0.25">
      <c r="A41" s="330" t="s">
        <v>146</v>
      </c>
      <c r="B41" s="197"/>
      <c r="C41" s="366">
        <f>-'C2Q'!B40</f>
        <v>13650544.689999999</v>
      </c>
      <c r="D41" s="366">
        <f>-'C2Q'!C40</f>
        <v>13865000</v>
      </c>
      <c r="E41" s="331">
        <f>-'C2Q'!D40</f>
        <v>13965900</v>
      </c>
      <c r="F41" s="331">
        <f>-'C2Q'!E40</f>
        <v>388733.59</v>
      </c>
      <c r="G41" s="331">
        <f>-'C2Q'!F40</f>
        <v>13090532.43</v>
      </c>
      <c r="H41" s="331">
        <f>-'C2Q'!G40</f>
        <v>12382077.73</v>
      </c>
      <c r="I41" s="85">
        <f t="shared" si="1"/>
        <v>708454.69999999925</v>
      </c>
      <c r="J41" s="326">
        <f t="shared" si="5"/>
        <v>5.721614057417157E-2</v>
      </c>
      <c r="K41" s="332">
        <f>-'C2Q'!J40</f>
        <v>13965900</v>
      </c>
      <c r="L41" s="21"/>
    </row>
    <row r="42" spans="1:12" s="285" customFormat="1" x14ac:dyDescent="0.25">
      <c r="A42" s="330" t="s">
        <v>1050</v>
      </c>
      <c r="B42" s="197"/>
      <c r="C42" s="366">
        <f>-'C2Q'!B41</f>
        <v>0</v>
      </c>
      <c r="D42" s="366">
        <f>-'C2Q'!C41</f>
        <v>0</v>
      </c>
      <c r="E42" s="331">
        <f>-'C2Q'!D41</f>
        <v>0</v>
      </c>
      <c r="F42" s="331">
        <f>-'C2Q'!E41</f>
        <v>0</v>
      </c>
      <c r="G42" s="331">
        <f>-'C2Q'!F41</f>
        <v>0</v>
      </c>
      <c r="H42" s="331">
        <f>-'C2Q'!G41</f>
        <v>0</v>
      </c>
      <c r="I42" s="85">
        <f t="shared" si="1"/>
        <v>0</v>
      </c>
      <c r="J42" s="326" t="str">
        <f t="shared" si="5"/>
        <v/>
      </c>
      <c r="K42" s="332">
        <f>-'C2Q'!J41</f>
        <v>0</v>
      </c>
      <c r="L42" s="21"/>
    </row>
    <row r="43" spans="1:12" s="285" customFormat="1" x14ac:dyDescent="0.25">
      <c r="A43" s="330" t="s">
        <v>1051</v>
      </c>
      <c r="B43" s="197"/>
      <c r="C43" s="366">
        <f>-'C2Q'!B42</f>
        <v>0</v>
      </c>
      <c r="D43" s="366">
        <f>-'C2Q'!C42</f>
        <v>0</v>
      </c>
      <c r="E43" s="331">
        <f>-'C2Q'!D42</f>
        <v>0</v>
      </c>
      <c r="F43" s="331">
        <f>-'C2Q'!E42</f>
        <v>0</v>
      </c>
      <c r="G43" s="331">
        <f>-'C2Q'!F42</f>
        <v>0</v>
      </c>
      <c r="H43" s="331">
        <f>-'C2Q'!G42</f>
        <v>0</v>
      </c>
      <c r="I43" s="85">
        <f t="shared" si="1"/>
        <v>0</v>
      </c>
      <c r="J43" s="326" t="str">
        <f t="shared" si="5"/>
        <v/>
      </c>
      <c r="K43" s="332">
        <f>-'C2Q'!J42</f>
        <v>0</v>
      </c>
      <c r="L43" s="21"/>
    </row>
    <row r="44" spans="1:12" s="285" customFormat="1" x14ac:dyDescent="0.25">
      <c r="A44" s="330" t="s">
        <v>1052</v>
      </c>
      <c r="B44" s="197"/>
      <c r="C44" s="366">
        <f>-'C2Q'!B43</f>
        <v>351028.91</v>
      </c>
      <c r="D44" s="366">
        <f>-'C2Q'!C43</f>
        <v>317900</v>
      </c>
      <c r="E44" s="331">
        <f>-'C2Q'!D43</f>
        <v>318000</v>
      </c>
      <c r="F44" s="331">
        <f>-'C2Q'!E43</f>
        <v>3700</v>
      </c>
      <c r="G44" s="331">
        <f>-'C2Q'!F43</f>
        <v>38053.78</v>
      </c>
      <c r="H44" s="331">
        <f>-'C2Q'!G43</f>
        <v>38801</v>
      </c>
      <c r="I44" s="85">
        <f t="shared" si="1"/>
        <v>-747.22000000000116</v>
      </c>
      <c r="J44" s="326">
        <f t="shared" si="5"/>
        <v>-1.9257751088889493E-2</v>
      </c>
      <c r="K44" s="332">
        <f>-'C2Q'!J43</f>
        <v>318000</v>
      </c>
      <c r="L44" s="21"/>
    </row>
    <row r="45" spans="1:12" s="285" customFormat="1" x14ac:dyDescent="0.25">
      <c r="A45" s="330" t="s">
        <v>1053</v>
      </c>
      <c r="B45" s="197"/>
      <c r="C45" s="366">
        <f>-'C2Q'!B44</f>
        <v>0</v>
      </c>
      <c r="D45" s="366">
        <f>-'C2Q'!C44</f>
        <v>0</v>
      </c>
      <c r="E45" s="331">
        <f>-'C2Q'!D44</f>
        <v>0</v>
      </c>
      <c r="F45" s="331">
        <f>-'C2Q'!E44</f>
        <v>0</v>
      </c>
      <c r="G45" s="331">
        <f>-'C2Q'!F44</f>
        <v>0</v>
      </c>
      <c r="H45" s="331">
        <f>-'C2Q'!G44</f>
        <v>0</v>
      </c>
      <c r="I45" s="85">
        <f t="shared" si="1"/>
        <v>0</v>
      </c>
      <c r="J45" s="326" t="str">
        <f t="shared" si="5"/>
        <v/>
      </c>
      <c r="K45" s="332">
        <f>-'C2Q'!J44</f>
        <v>0</v>
      </c>
      <c r="L45" s="21"/>
    </row>
    <row r="46" spans="1:12" s="285" customFormat="1" x14ac:dyDescent="0.25">
      <c r="A46" s="330" t="s">
        <v>1054</v>
      </c>
      <c r="B46" s="197"/>
      <c r="C46" s="366">
        <f>-'C2Q'!B45</f>
        <v>0</v>
      </c>
      <c r="D46" s="366">
        <f>-'C2Q'!C45</f>
        <v>0</v>
      </c>
      <c r="E46" s="331">
        <f>-'C2Q'!D45</f>
        <v>0</v>
      </c>
      <c r="F46" s="331">
        <f>-'C2Q'!E45</f>
        <v>0</v>
      </c>
      <c r="G46" s="331">
        <f>-'C2Q'!F45</f>
        <v>0</v>
      </c>
      <c r="H46" s="331">
        <f>-'C2Q'!G45</f>
        <v>0</v>
      </c>
      <c r="I46" s="85">
        <f t="shared" si="1"/>
        <v>0</v>
      </c>
      <c r="J46" s="326" t="str">
        <f t="shared" si="5"/>
        <v/>
      </c>
      <c r="K46" s="332">
        <f>-'C2Q'!J45</f>
        <v>0</v>
      </c>
      <c r="L46" s="21"/>
    </row>
    <row r="47" spans="1:12" s="285" customFormat="1" x14ac:dyDescent="0.25">
      <c r="A47" s="330" t="s">
        <v>1055</v>
      </c>
      <c r="B47" s="197"/>
      <c r="C47" s="366">
        <f>-'C2Q'!B46</f>
        <v>0</v>
      </c>
      <c r="D47" s="366">
        <f>-'C2Q'!C46</f>
        <v>0</v>
      </c>
      <c r="E47" s="331">
        <f>-'C2Q'!D46</f>
        <v>0</v>
      </c>
      <c r="F47" s="331">
        <f>-'C2Q'!E46</f>
        <v>0</v>
      </c>
      <c r="G47" s="331">
        <f>-'C2Q'!F46</f>
        <v>0</v>
      </c>
      <c r="H47" s="331">
        <f>-'C2Q'!G46</f>
        <v>0</v>
      </c>
      <c r="I47" s="85">
        <f t="shared" si="1"/>
        <v>0</v>
      </c>
      <c r="J47" s="326" t="str">
        <f t="shared" si="5"/>
        <v/>
      </c>
      <c r="K47" s="332">
        <f>-'C2Q'!J46</f>
        <v>0</v>
      </c>
      <c r="L47" s="21"/>
    </row>
    <row r="48" spans="1:12" s="285" customFormat="1" x14ac:dyDescent="0.25">
      <c r="A48" s="330" t="s">
        <v>1056</v>
      </c>
      <c r="B48" s="197"/>
      <c r="C48" s="366">
        <f>-'C2Q'!B47</f>
        <v>0</v>
      </c>
      <c r="D48" s="366">
        <f>-'C2Q'!C47</f>
        <v>0</v>
      </c>
      <c r="E48" s="331">
        <f>-'C2Q'!D47</f>
        <v>0</v>
      </c>
      <c r="F48" s="331">
        <f>-'C2Q'!E47</f>
        <v>0</v>
      </c>
      <c r="G48" s="331">
        <f>-'C2Q'!F47</f>
        <v>0</v>
      </c>
      <c r="H48" s="331">
        <f>-'C2Q'!G47</f>
        <v>0</v>
      </c>
      <c r="I48" s="85">
        <f t="shared" si="1"/>
        <v>0</v>
      </c>
      <c r="J48" s="326" t="str">
        <f t="shared" si="5"/>
        <v/>
      </c>
      <c r="K48" s="332">
        <f>-'C2Q'!J47</f>
        <v>0</v>
      </c>
      <c r="L48" s="21"/>
    </row>
    <row r="49" spans="1:12" s="285" customFormat="1" x14ac:dyDescent="0.25">
      <c r="A49" s="327" t="s">
        <v>94</v>
      </c>
      <c r="B49" s="197"/>
      <c r="C49" s="210">
        <f>SUM(C50:C54)</f>
        <v>26852319.229999997</v>
      </c>
      <c r="D49" s="207">
        <f t="shared" ref="D49:K49" si="9">SUM(D50:D54)</f>
        <v>13277000</v>
      </c>
      <c r="E49" s="200">
        <f t="shared" si="9"/>
        <v>25077400</v>
      </c>
      <c r="F49" s="200">
        <f t="shared" si="9"/>
        <v>14366988.890000001</v>
      </c>
      <c r="G49" s="200">
        <f t="shared" si="9"/>
        <v>43280890.539999999</v>
      </c>
      <c r="H49" s="200">
        <f t="shared" si="9"/>
        <v>29334960.390000001</v>
      </c>
      <c r="I49" s="85">
        <f t="shared" si="1"/>
        <v>13945930.149999999</v>
      </c>
      <c r="J49" s="326">
        <f t="shared" si="5"/>
        <v>0.47540306735011068</v>
      </c>
      <c r="K49" s="211">
        <f t="shared" si="9"/>
        <v>25077400</v>
      </c>
      <c r="L49" s="21"/>
    </row>
    <row r="50" spans="1:12" s="285" customFormat="1" x14ac:dyDescent="0.25">
      <c r="A50" s="330" t="s">
        <v>1057</v>
      </c>
      <c r="B50" s="197"/>
      <c r="C50" s="366">
        <f>-'C2Q'!B49</f>
        <v>380735.94</v>
      </c>
      <c r="D50" s="366">
        <f>-'C2Q'!C49</f>
        <v>321200</v>
      </c>
      <c r="E50" s="331">
        <f>-'C2Q'!D49</f>
        <v>321200</v>
      </c>
      <c r="F50" s="331">
        <f>-'C2Q'!E49</f>
        <v>20475</v>
      </c>
      <c r="G50" s="331">
        <f>-'C2Q'!F49</f>
        <v>204750</v>
      </c>
      <c r="H50" s="331">
        <f>-'C2Q'!G49</f>
        <v>204750</v>
      </c>
      <c r="I50" s="85">
        <f t="shared" si="1"/>
        <v>0</v>
      </c>
      <c r="J50" s="326">
        <f t="shared" si="5"/>
        <v>0</v>
      </c>
      <c r="K50" s="332">
        <f>-'C2Q'!J49</f>
        <v>321200</v>
      </c>
      <c r="L50" s="21"/>
    </row>
    <row r="51" spans="1:12" s="285" customFormat="1" x14ac:dyDescent="0.25">
      <c r="A51" s="330" t="s">
        <v>1058</v>
      </c>
      <c r="B51" s="197"/>
      <c r="C51" s="366">
        <f>-'C2Q'!B50</f>
        <v>0</v>
      </c>
      <c r="D51" s="366">
        <f>-'C2Q'!C50</f>
        <v>0</v>
      </c>
      <c r="E51" s="331">
        <f>-'C2Q'!D50</f>
        <v>0</v>
      </c>
      <c r="F51" s="331">
        <f>-'C2Q'!E50</f>
        <v>0</v>
      </c>
      <c r="G51" s="331">
        <f>-'C2Q'!F50</f>
        <v>0</v>
      </c>
      <c r="H51" s="331">
        <f>-'C2Q'!G50</f>
        <v>0</v>
      </c>
      <c r="I51" s="85">
        <f t="shared" si="1"/>
        <v>0</v>
      </c>
      <c r="J51" s="326" t="str">
        <f t="shared" si="5"/>
        <v/>
      </c>
      <c r="K51" s="332">
        <f>-'C2Q'!J50</f>
        <v>0</v>
      </c>
      <c r="L51" s="21"/>
    </row>
    <row r="52" spans="1:12" s="285" customFormat="1" x14ac:dyDescent="0.25">
      <c r="A52" s="330" t="s">
        <v>1059</v>
      </c>
      <c r="B52" s="197"/>
      <c r="C52" s="366">
        <f>-'C2Q'!B51</f>
        <v>13644179.029999999</v>
      </c>
      <c r="D52" s="366">
        <f>-'C2Q'!C51</f>
        <v>9540300</v>
      </c>
      <c r="E52" s="331">
        <f>-'C2Q'!D51</f>
        <v>9540400</v>
      </c>
      <c r="F52" s="331">
        <f>-'C2Q'!E51</f>
        <v>875939.86</v>
      </c>
      <c r="G52" s="331">
        <f>-'C2Q'!F51</f>
        <v>6763103.8200000003</v>
      </c>
      <c r="H52" s="331">
        <f>-'C2Q'!G51</f>
        <v>6356883.71</v>
      </c>
      <c r="I52" s="85">
        <f t="shared" si="1"/>
        <v>406220.11000000034</v>
      </c>
      <c r="J52" s="326">
        <f t="shared" si="5"/>
        <v>6.3902397547555626E-2</v>
      </c>
      <c r="K52" s="332">
        <f>-'C2Q'!J51</f>
        <v>9540400</v>
      </c>
      <c r="L52" s="21"/>
    </row>
    <row r="53" spans="1:12" s="285" customFormat="1" x14ac:dyDescent="0.25">
      <c r="A53" s="330" t="s">
        <v>1060</v>
      </c>
      <c r="B53" s="197"/>
      <c r="C53" s="366">
        <f>-'C2Q'!B52</f>
        <v>10719352.15</v>
      </c>
      <c r="D53" s="366">
        <f>-'C2Q'!C52</f>
        <v>1484600</v>
      </c>
      <c r="E53" s="331">
        <f>-'C2Q'!D52</f>
        <v>1484900</v>
      </c>
      <c r="F53" s="331">
        <f>-'C2Q'!E52</f>
        <v>70351.960000000006</v>
      </c>
      <c r="G53" s="331">
        <f>-'C2Q'!F52</f>
        <v>2122213.64</v>
      </c>
      <c r="H53" s="331">
        <f>-'C2Q'!G52</f>
        <v>1966385.65</v>
      </c>
      <c r="I53" s="85">
        <f t="shared" si="1"/>
        <v>155827.99000000022</v>
      </c>
      <c r="J53" s="326">
        <f t="shared" si="5"/>
        <v>7.924589461889138E-2</v>
      </c>
      <c r="K53" s="332">
        <f>-'C2Q'!J52</f>
        <v>1484900</v>
      </c>
      <c r="L53" s="21"/>
    </row>
    <row r="54" spans="1:12" s="285" customFormat="1" x14ac:dyDescent="0.25">
      <c r="A54" s="330" t="s">
        <v>1061</v>
      </c>
      <c r="B54" s="197"/>
      <c r="C54" s="366">
        <f>-'C2Q'!B53</f>
        <v>2108052.11</v>
      </c>
      <c r="D54" s="366">
        <f>-'C2Q'!C53</f>
        <v>1930900</v>
      </c>
      <c r="E54" s="331">
        <f>-'C2Q'!D53</f>
        <v>13730900</v>
      </c>
      <c r="F54" s="331">
        <f>-'C2Q'!E53</f>
        <v>13400222.07</v>
      </c>
      <c r="G54" s="331">
        <f>-'C2Q'!F53</f>
        <v>34190823.079999998</v>
      </c>
      <c r="H54" s="331">
        <f>-'C2Q'!G53</f>
        <v>20806941.030000001</v>
      </c>
      <c r="I54" s="85">
        <f t="shared" si="1"/>
        <v>13383882.049999997</v>
      </c>
      <c r="J54" s="326">
        <f t="shared" si="5"/>
        <v>0.64324121602991813</v>
      </c>
      <c r="K54" s="332">
        <f>-'C2Q'!J53</f>
        <v>13730900</v>
      </c>
      <c r="L54" s="21"/>
    </row>
    <row r="55" spans="1:12" s="285" customFormat="1" x14ac:dyDescent="0.25">
      <c r="A55" s="327" t="s">
        <v>95</v>
      </c>
      <c r="B55" s="197"/>
      <c r="C55" s="210">
        <f>SUM(C56:C63)</f>
        <v>14770399.300000001</v>
      </c>
      <c r="D55" s="207">
        <f t="shared" ref="D55:K55" si="10">SUM(D56:D63)</f>
        <v>11362000</v>
      </c>
      <c r="E55" s="200">
        <f t="shared" si="10"/>
        <v>8048600</v>
      </c>
      <c r="F55" s="200">
        <f t="shared" si="10"/>
        <v>572179.5</v>
      </c>
      <c r="G55" s="200">
        <f t="shared" si="10"/>
        <v>5673651.7300000004</v>
      </c>
      <c r="H55" s="200">
        <f t="shared" si="10"/>
        <v>5785174.2800000003</v>
      </c>
      <c r="I55" s="85">
        <f t="shared" si="1"/>
        <v>-111522.54999999981</v>
      </c>
      <c r="J55" s="326">
        <f t="shared" si="5"/>
        <v>-1.9277301703000693E-2</v>
      </c>
      <c r="K55" s="211">
        <f t="shared" si="10"/>
        <v>8048600</v>
      </c>
      <c r="L55" s="21"/>
    </row>
    <row r="56" spans="1:12" s="285" customFormat="1" x14ac:dyDescent="0.25">
      <c r="A56" s="330" t="s">
        <v>149</v>
      </c>
      <c r="B56" s="197"/>
      <c r="C56" s="366">
        <f>-'C2Q'!B55</f>
        <v>0</v>
      </c>
      <c r="D56" s="366">
        <f>-'C2Q'!C55</f>
        <v>0</v>
      </c>
      <c r="E56" s="331">
        <f>-'C2Q'!D55</f>
        <v>0</v>
      </c>
      <c r="F56" s="331">
        <f>-'C2Q'!E55</f>
        <v>0</v>
      </c>
      <c r="G56" s="331">
        <f>-'C2Q'!F55</f>
        <v>0</v>
      </c>
      <c r="H56" s="331">
        <f>-'C2Q'!G55</f>
        <v>0</v>
      </c>
      <c r="I56" s="85">
        <f t="shared" si="1"/>
        <v>0</v>
      </c>
      <c r="J56" s="326" t="str">
        <f t="shared" si="5"/>
        <v/>
      </c>
      <c r="K56" s="332">
        <f>-'C2Q'!J55</f>
        <v>0</v>
      </c>
      <c r="L56" s="21"/>
    </row>
    <row r="57" spans="1:12" s="285" customFormat="1" x14ac:dyDescent="0.25">
      <c r="A57" s="330" t="s">
        <v>1062</v>
      </c>
      <c r="B57" s="197"/>
      <c r="C57" s="366">
        <f>-'C2Q'!B56</f>
        <v>0</v>
      </c>
      <c r="D57" s="366">
        <f>-'C2Q'!C56</f>
        <v>0</v>
      </c>
      <c r="E57" s="331">
        <f>-'C2Q'!D56</f>
        <v>0</v>
      </c>
      <c r="F57" s="331">
        <f>-'C2Q'!E56</f>
        <v>0</v>
      </c>
      <c r="G57" s="331">
        <f>-'C2Q'!F56</f>
        <v>0</v>
      </c>
      <c r="H57" s="331">
        <f>-'C2Q'!G56</f>
        <v>0</v>
      </c>
      <c r="I57" s="85">
        <f t="shared" si="1"/>
        <v>0</v>
      </c>
      <c r="J57" s="326" t="str">
        <f t="shared" si="5"/>
        <v/>
      </c>
      <c r="K57" s="332">
        <f>-'C2Q'!J56</f>
        <v>0</v>
      </c>
      <c r="L57" s="21"/>
    </row>
    <row r="58" spans="1:12" s="285" customFormat="1" x14ac:dyDescent="0.25">
      <c r="A58" s="330" t="s">
        <v>1063</v>
      </c>
      <c r="B58" s="197"/>
      <c r="C58" s="366">
        <f>-'C2Q'!B57</f>
        <v>0</v>
      </c>
      <c r="D58" s="366">
        <f>-'C2Q'!C57</f>
        <v>0</v>
      </c>
      <c r="E58" s="331">
        <f>-'C2Q'!D57</f>
        <v>0</v>
      </c>
      <c r="F58" s="331">
        <f>-'C2Q'!E57</f>
        <v>0</v>
      </c>
      <c r="G58" s="331">
        <f>-'C2Q'!F57</f>
        <v>0</v>
      </c>
      <c r="H58" s="331">
        <f>-'C2Q'!G57</f>
        <v>0</v>
      </c>
      <c r="I58" s="85">
        <f t="shared" si="1"/>
        <v>0</v>
      </c>
      <c r="J58" s="326" t="str">
        <f t="shared" si="5"/>
        <v/>
      </c>
      <c r="K58" s="332">
        <f>-'C2Q'!J57</f>
        <v>0</v>
      </c>
      <c r="L58" s="21"/>
    </row>
    <row r="59" spans="1:12" s="285" customFormat="1" x14ac:dyDescent="0.25">
      <c r="A59" s="330" t="s">
        <v>1064</v>
      </c>
      <c r="B59" s="197"/>
      <c r="C59" s="366">
        <f>-'C2Q'!B58</f>
        <v>0</v>
      </c>
      <c r="D59" s="366">
        <f>-'C2Q'!C58</f>
        <v>0</v>
      </c>
      <c r="E59" s="331">
        <f>-'C2Q'!D58</f>
        <v>0</v>
      </c>
      <c r="F59" s="331">
        <f>-'C2Q'!E58</f>
        <v>0</v>
      </c>
      <c r="G59" s="331">
        <f>-'C2Q'!F58</f>
        <v>0</v>
      </c>
      <c r="H59" s="331">
        <f>-'C2Q'!G58</f>
        <v>0</v>
      </c>
      <c r="I59" s="85">
        <f t="shared" si="1"/>
        <v>0</v>
      </c>
      <c r="J59" s="326" t="str">
        <f t="shared" si="5"/>
        <v/>
      </c>
      <c r="K59" s="332">
        <f>-'C2Q'!J58</f>
        <v>0</v>
      </c>
      <c r="L59" s="21"/>
    </row>
    <row r="60" spans="1:12" s="285" customFormat="1" x14ac:dyDescent="0.25">
      <c r="A60" s="330" t="s">
        <v>1065</v>
      </c>
      <c r="B60" s="197"/>
      <c r="C60" s="366">
        <f>-'C2Q'!B59</f>
        <v>5349885.04</v>
      </c>
      <c r="D60" s="366">
        <f>-'C2Q'!C59</f>
        <v>1933000</v>
      </c>
      <c r="E60" s="331">
        <f>-'C2Q'!D59</f>
        <v>2394100</v>
      </c>
      <c r="F60" s="331">
        <f>-'C2Q'!E59</f>
        <v>172459.87</v>
      </c>
      <c r="G60" s="331">
        <f>-'C2Q'!F59</f>
        <v>1962653.31</v>
      </c>
      <c r="H60" s="331">
        <f>-'C2Q'!G59</f>
        <v>1845889.79</v>
      </c>
      <c r="I60" s="85">
        <f t="shared" si="1"/>
        <v>116763.52000000002</v>
      </c>
      <c r="J60" s="326">
        <f t="shared" si="5"/>
        <v>6.3255954192151423E-2</v>
      </c>
      <c r="K60" s="332">
        <f>-'C2Q'!J59</f>
        <v>2394100</v>
      </c>
      <c r="L60" s="21"/>
    </row>
    <row r="61" spans="1:12" s="285" customFormat="1" x14ac:dyDescent="0.25">
      <c r="A61" s="330" t="s">
        <v>1066</v>
      </c>
      <c r="B61" s="197"/>
      <c r="C61" s="366">
        <f>-'C2Q'!B60</f>
        <v>0</v>
      </c>
      <c r="D61" s="366">
        <f>-'C2Q'!C60</f>
        <v>0</v>
      </c>
      <c r="E61" s="331">
        <f>-'C2Q'!D60</f>
        <v>0</v>
      </c>
      <c r="F61" s="331">
        <f>-'C2Q'!E60</f>
        <v>0</v>
      </c>
      <c r="G61" s="331">
        <f>-'C2Q'!F60</f>
        <v>0</v>
      </c>
      <c r="H61" s="331">
        <f>-'C2Q'!G60</f>
        <v>0</v>
      </c>
      <c r="I61" s="85">
        <f t="shared" si="1"/>
        <v>0</v>
      </c>
      <c r="J61" s="326" t="str">
        <f t="shared" si="5"/>
        <v/>
      </c>
      <c r="K61" s="332">
        <f>-'C2Q'!J60</f>
        <v>0</v>
      </c>
      <c r="L61" s="21"/>
    </row>
    <row r="62" spans="1:12" s="285" customFormat="1" x14ac:dyDescent="0.25">
      <c r="A62" s="330" t="s">
        <v>1084</v>
      </c>
      <c r="B62" s="197"/>
      <c r="C62" s="366">
        <f>-'C2Q'!B61</f>
        <v>9420514.2599999998</v>
      </c>
      <c r="D62" s="366">
        <f>-'C2Q'!C61</f>
        <v>9429000</v>
      </c>
      <c r="E62" s="331">
        <f>-'C2Q'!D61</f>
        <v>5654500</v>
      </c>
      <c r="F62" s="331">
        <f>-'C2Q'!E61</f>
        <v>399719.63</v>
      </c>
      <c r="G62" s="331">
        <f>-'C2Q'!F61</f>
        <v>3710998.42</v>
      </c>
      <c r="H62" s="331">
        <f>-'C2Q'!G61</f>
        <v>3939284.49</v>
      </c>
      <c r="I62" s="85">
        <f t="shared" si="1"/>
        <v>-228286.0700000003</v>
      </c>
      <c r="J62" s="326">
        <f t="shared" si="5"/>
        <v>-5.7951150920811073E-2</v>
      </c>
      <c r="K62" s="332">
        <f>-'C2Q'!J61</f>
        <v>5654500</v>
      </c>
      <c r="L62" s="21"/>
    </row>
    <row r="63" spans="1:12" s="285" customFormat="1" x14ac:dyDescent="0.25">
      <c r="A63" s="330" t="s">
        <v>1085</v>
      </c>
      <c r="B63" s="197"/>
      <c r="C63" s="366">
        <f>-'C2Q'!B62</f>
        <v>0</v>
      </c>
      <c r="D63" s="366">
        <f>-'C2Q'!C62</f>
        <v>0</v>
      </c>
      <c r="E63" s="331">
        <f>-'C2Q'!D62</f>
        <v>0</v>
      </c>
      <c r="F63" s="331">
        <f>-'C2Q'!E62</f>
        <v>0</v>
      </c>
      <c r="G63" s="331">
        <f>-'C2Q'!F62</f>
        <v>0</v>
      </c>
      <c r="H63" s="331">
        <f>-'C2Q'!G62</f>
        <v>0</v>
      </c>
      <c r="I63" s="85">
        <f t="shared" si="1"/>
        <v>0</v>
      </c>
      <c r="J63" s="326" t="str">
        <f t="shared" si="5"/>
        <v/>
      </c>
      <c r="K63" s="332">
        <f>-'C2Q'!J62</f>
        <v>0</v>
      </c>
      <c r="L63" s="21"/>
    </row>
    <row r="64" spans="1:12" s="285" customFormat="1" x14ac:dyDescent="0.25">
      <c r="A64" s="327" t="s">
        <v>659</v>
      </c>
      <c r="B64" s="197"/>
      <c r="C64" s="210">
        <f t="shared" ref="C64:H64" si="11">SUM(C65:C66)</f>
        <v>135481643.83000001</v>
      </c>
      <c r="D64" s="207">
        <f t="shared" si="11"/>
        <v>71028900</v>
      </c>
      <c r="E64" s="200">
        <f t="shared" si="11"/>
        <v>72744000</v>
      </c>
      <c r="F64" s="200">
        <f t="shared" si="11"/>
        <v>202118.68</v>
      </c>
      <c r="G64" s="200">
        <f t="shared" si="11"/>
        <v>17679249.719999999</v>
      </c>
      <c r="H64" s="200">
        <f t="shared" si="11"/>
        <v>32767799.600000001</v>
      </c>
      <c r="I64" s="85">
        <f t="shared" si="1"/>
        <v>-15088549.880000003</v>
      </c>
      <c r="J64" s="326">
        <f t="shared" si="5"/>
        <v>-0.46046881585542904</v>
      </c>
      <c r="K64" s="211">
        <f>SUM(K65:K66)</f>
        <v>72744000</v>
      </c>
      <c r="L64" s="21"/>
    </row>
    <row r="65" spans="1:12" s="285" customFormat="1" x14ac:dyDescent="0.25">
      <c r="A65" s="330" t="s">
        <v>659</v>
      </c>
      <c r="B65" s="197"/>
      <c r="C65" s="366">
        <f>-'C2Q'!B64</f>
        <v>135481643.83000001</v>
      </c>
      <c r="D65" s="366">
        <f>-'C2Q'!C64</f>
        <v>71028900</v>
      </c>
      <c r="E65" s="331">
        <f>-'C2Q'!D64</f>
        <v>72744000</v>
      </c>
      <c r="F65" s="331">
        <f>-'C2Q'!E64</f>
        <v>202118.68</v>
      </c>
      <c r="G65" s="331">
        <f>-'C2Q'!F64</f>
        <v>17679249.719999999</v>
      </c>
      <c r="H65" s="331">
        <f>-'C2Q'!G64</f>
        <v>32767799.600000001</v>
      </c>
      <c r="I65" s="85">
        <f t="shared" si="1"/>
        <v>-15088549.880000003</v>
      </c>
      <c r="J65" s="326">
        <f t="shared" si="5"/>
        <v>-0.46046881585542904</v>
      </c>
      <c r="K65" s="332">
        <f>-'C2Q'!J64</f>
        <v>72744000</v>
      </c>
      <c r="L65" s="21"/>
    </row>
    <row r="66" spans="1:12" s="285" customFormat="1" x14ac:dyDescent="0.25">
      <c r="A66" s="330" t="s">
        <v>1067</v>
      </c>
      <c r="B66" s="197"/>
      <c r="C66" s="366">
        <f>-'C2Q'!B65</f>
        <v>0</v>
      </c>
      <c r="D66" s="366">
        <f>-'C2Q'!C65</f>
        <v>0</v>
      </c>
      <c r="E66" s="331">
        <f>-'C2Q'!D65</f>
        <v>0</v>
      </c>
      <c r="F66" s="331">
        <f>-'C2Q'!E65</f>
        <v>0</v>
      </c>
      <c r="G66" s="331">
        <f>-'C2Q'!F65</f>
        <v>0</v>
      </c>
      <c r="H66" s="331">
        <f>-'C2Q'!G65</f>
        <v>0</v>
      </c>
      <c r="I66" s="85">
        <f t="shared" si="1"/>
        <v>0</v>
      </c>
      <c r="J66" s="326" t="str">
        <f t="shared" si="5"/>
        <v/>
      </c>
      <c r="K66" s="332">
        <f>-'C2Q'!J65</f>
        <v>0</v>
      </c>
      <c r="L66" s="21"/>
    </row>
    <row r="67" spans="1:12" s="285" customFormat="1" x14ac:dyDescent="0.25">
      <c r="A67" s="327" t="s">
        <v>559</v>
      </c>
      <c r="B67" s="197"/>
      <c r="C67" s="210">
        <f t="shared" ref="C67:H67" si="12">SUM(C68:C74)</f>
        <v>349166.03</v>
      </c>
      <c r="D67" s="207">
        <f t="shared" si="12"/>
        <v>0</v>
      </c>
      <c r="E67" s="200">
        <f t="shared" si="12"/>
        <v>0</v>
      </c>
      <c r="F67" s="200">
        <f t="shared" si="12"/>
        <v>0</v>
      </c>
      <c r="G67" s="200">
        <f t="shared" si="12"/>
        <v>0</v>
      </c>
      <c r="H67" s="200">
        <f t="shared" si="12"/>
        <v>0</v>
      </c>
      <c r="I67" s="85">
        <f t="shared" si="1"/>
        <v>0</v>
      </c>
      <c r="J67" s="326" t="str">
        <f t="shared" si="5"/>
        <v/>
      </c>
      <c r="K67" s="211">
        <f>SUM(K68:K74)</f>
        <v>0</v>
      </c>
      <c r="L67" s="21"/>
    </row>
    <row r="68" spans="1:12" s="285" customFormat="1" x14ac:dyDescent="0.25">
      <c r="A68" s="330" t="s">
        <v>474</v>
      </c>
      <c r="B68" s="197"/>
      <c r="C68" s="366">
        <f>-'C2Q'!B67</f>
        <v>0</v>
      </c>
      <c r="D68" s="366">
        <f>-'C2Q'!C67</f>
        <v>0</v>
      </c>
      <c r="E68" s="331">
        <f>-'C2Q'!D67</f>
        <v>0</v>
      </c>
      <c r="F68" s="331">
        <f>-'C2Q'!E67</f>
        <v>0</v>
      </c>
      <c r="G68" s="331">
        <f>-'C2Q'!F67</f>
        <v>0</v>
      </c>
      <c r="H68" s="331">
        <f>-'C2Q'!G67</f>
        <v>0</v>
      </c>
      <c r="I68" s="85">
        <f t="shared" si="1"/>
        <v>0</v>
      </c>
      <c r="J68" s="326" t="str">
        <f t="shared" si="5"/>
        <v/>
      </c>
      <c r="K68" s="332">
        <f>-'C2Q'!J67</f>
        <v>0</v>
      </c>
      <c r="L68" s="21"/>
    </row>
    <row r="69" spans="1:12" s="285" customFormat="1" x14ac:dyDescent="0.25">
      <c r="A69" s="330" t="s">
        <v>1068</v>
      </c>
      <c r="B69" s="197"/>
      <c r="C69" s="366">
        <f>-'C2Q'!B68</f>
        <v>349166.03</v>
      </c>
      <c r="D69" s="366">
        <f>-'C2Q'!C68</f>
        <v>0</v>
      </c>
      <c r="E69" s="331">
        <f>-'C2Q'!D68</f>
        <v>0</v>
      </c>
      <c r="F69" s="331">
        <f>-'C2Q'!E68</f>
        <v>0</v>
      </c>
      <c r="G69" s="331">
        <f>-'C2Q'!F68</f>
        <v>0</v>
      </c>
      <c r="H69" s="331">
        <f>-'C2Q'!G68</f>
        <v>0</v>
      </c>
      <c r="I69" s="85">
        <f t="shared" si="1"/>
        <v>0</v>
      </c>
      <c r="J69" s="326" t="str">
        <f t="shared" si="5"/>
        <v/>
      </c>
      <c r="K69" s="332">
        <f>-'C2Q'!J68</f>
        <v>0</v>
      </c>
      <c r="L69" s="21"/>
    </row>
    <row r="70" spans="1:12" s="285" customFormat="1" x14ac:dyDescent="0.25">
      <c r="A70" s="330" t="s">
        <v>1069</v>
      </c>
      <c r="B70" s="197"/>
      <c r="C70" s="366">
        <f>-'C2Q'!B69</f>
        <v>0</v>
      </c>
      <c r="D70" s="366">
        <f>-'C2Q'!C69</f>
        <v>0</v>
      </c>
      <c r="E70" s="331">
        <f>-'C2Q'!D69</f>
        <v>0</v>
      </c>
      <c r="F70" s="331">
        <f>-'C2Q'!E69</f>
        <v>0</v>
      </c>
      <c r="G70" s="331">
        <f>-'C2Q'!F69</f>
        <v>0</v>
      </c>
      <c r="H70" s="331">
        <f>-'C2Q'!G69</f>
        <v>0</v>
      </c>
      <c r="I70" s="85">
        <f t="shared" ref="I70:I125" si="13">G70-H70</f>
        <v>0</v>
      </c>
      <c r="J70" s="326" t="str">
        <f t="shared" si="5"/>
        <v/>
      </c>
      <c r="K70" s="332">
        <f>-'C2Q'!J69</f>
        <v>0</v>
      </c>
      <c r="L70" s="21"/>
    </row>
    <row r="71" spans="1:12" s="285" customFormat="1" x14ac:dyDescent="0.25">
      <c r="A71" s="330" t="s">
        <v>1070</v>
      </c>
      <c r="B71" s="197"/>
      <c r="C71" s="366">
        <f>-'C2Q'!B70</f>
        <v>0</v>
      </c>
      <c r="D71" s="366">
        <f>-'C2Q'!C70</f>
        <v>0</v>
      </c>
      <c r="E71" s="331">
        <f>-'C2Q'!D70</f>
        <v>0</v>
      </c>
      <c r="F71" s="331">
        <f>-'C2Q'!E70</f>
        <v>0</v>
      </c>
      <c r="G71" s="331">
        <f>-'C2Q'!F70</f>
        <v>0</v>
      </c>
      <c r="H71" s="331">
        <f>-'C2Q'!G70</f>
        <v>0</v>
      </c>
      <c r="I71" s="85">
        <f t="shared" si="13"/>
        <v>0</v>
      </c>
      <c r="J71" s="326" t="str">
        <f t="shared" si="5"/>
        <v/>
      </c>
      <c r="K71" s="332">
        <f>-'C2Q'!J70</f>
        <v>0</v>
      </c>
      <c r="L71" s="21"/>
    </row>
    <row r="72" spans="1:12" s="285" customFormat="1" ht="22.5" x14ac:dyDescent="0.25">
      <c r="A72" s="330" t="s">
        <v>1071</v>
      </c>
      <c r="B72" s="197"/>
      <c r="C72" s="366">
        <f>-'C2Q'!B71</f>
        <v>0</v>
      </c>
      <c r="D72" s="366">
        <f>-'C2Q'!C71</f>
        <v>0</v>
      </c>
      <c r="E72" s="331">
        <f>-'C2Q'!D71</f>
        <v>0</v>
      </c>
      <c r="F72" s="331">
        <f>-'C2Q'!E71</f>
        <v>0</v>
      </c>
      <c r="G72" s="331">
        <f>-'C2Q'!F71</f>
        <v>0</v>
      </c>
      <c r="H72" s="331">
        <f>-'C2Q'!G71</f>
        <v>0</v>
      </c>
      <c r="I72" s="85">
        <f t="shared" si="13"/>
        <v>0</v>
      </c>
      <c r="J72" s="326" t="str">
        <f t="shared" si="5"/>
        <v/>
      </c>
      <c r="K72" s="332">
        <f>-'C2Q'!J71</f>
        <v>0</v>
      </c>
      <c r="L72" s="21"/>
    </row>
    <row r="73" spans="1:12" s="285" customFormat="1" x14ac:dyDescent="0.25">
      <c r="A73" s="330" t="s">
        <v>1072</v>
      </c>
      <c r="B73" s="197"/>
      <c r="C73" s="366">
        <f>-'C2Q'!B72</f>
        <v>0</v>
      </c>
      <c r="D73" s="366">
        <f>-'C2Q'!C72</f>
        <v>0</v>
      </c>
      <c r="E73" s="331">
        <f>-'C2Q'!D72</f>
        <v>0</v>
      </c>
      <c r="F73" s="331">
        <f>-'C2Q'!E72</f>
        <v>0</v>
      </c>
      <c r="G73" s="331">
        <f>-'C2Q'!F72</f>
        <v>0</v>
      </c>
      <c r="H73" s="331">
        <f>-'C2Q'!G72</f>
        <v>0</v>
      </c>
      <c r="I73" s="85">
        <f t="shared" si="13"/>
        <v>0</v>
      </c>
      <c r="J73" s="326" t="str">
        <f t="shared" si="5"/>
        <v/>
      </c>
      <c r="K73" s="332">
        <f>-'C2Q'!J72</f>
        <v>0</v>
      </c>
      <c r="L73" s="21"/>
    </row>
    <row r="74" spans="1:12" s="285" customFormat="1" x14ac:dyDescent="0.25">
      <c r="A74" s="330" t="s">
        <v>1073</v>
      </c>
      <c r="B74" s="197"/>
      <c r="C74" s="366">
        <f>-'C2Q'!B73</f>
        <v>0</v>
      </c>
      <c r="D74" s="366">
        <f>-'C2Q'!C73</f>
        <v>0</v>
      </c>
      <c r="E74" s="331">
        <f>-'C2Q'!D73</f>
        <v>0</v>
      </c>
      <c r="F74" s="331">
        <f>-'C2Q'!E73</f>
        <v>0</v>
      </c>
      <c r="G74" s="331">
        <f>-'C2Q'!F73</f>
        <v>0</v>
      </c>
      <c r="H74" s="331">
        <f>-'C2Q'!G73</f>
        <v>0</v>
      </c>
      <c r="I74" s="85">
        <f t="shared" si="13"/>
        <v>0</v>
      </c>
      <c r="J74" s="326" t="str">
        <f t="shared" si="5"/>
        <v/>
      </c>
      <c r="K74" s="332">
        <f>-'C2Q'!J73</f>
        <v>0</v>
      </c>
      <c r="L74" s="21"/>
    </row>
    <row r="75" spans="1:12" s="285" customFormat="1" x14ac:dyDescent="0.25">
      <c r="A75" s="311" t="s">
        <v>96</v>
      </c>
      <c r="B75" s="197"/>
      <c r="C75" s="591">
        <f t="shared" ref="C75:H75" si="14">C76+C87+C92</f>
        <v>188781901.33000001</v>
      </c>
      <c r="D75" s="53">
        <f t="shared" si="14"/>
        <v>75661100</v>
      </c>
      <c r="E75" s="52">
        <f t="shared" si="14"/>
        <v>91311200</v>
      </c>
      <c r="F75" s="52">
        <f t="shared" si="14"/>
        <v>22454866.759999998</v>
      </c>
      <c r="G75" s="52">
        <f t="shared" si="14"/>
        <v>87786910.239999995</v>
      </c>
      <c r="H75" s="52">
        <f t="shared" si="14"/>
        <v>70111704.610000014</v>
      </c>
      <c r="I75" s="85">
        <f t="shared" si="13"/>
        <v>17675205.62999998</v>
      </c>
      <c r="J75" s="326">
        <f t="shared" si="5"/>
        <v>0.25210064037551544</v>
      </c>
      <c r="K75" s="79">
        <f>K76+K87+K92</f>
        <v>91311200</v>
      </c>
      <c r="L75" s="21"/>
    </row>
    <row r="76" spans="1:12" s="285" customFormat="1" x14ac:dyDescent="0.25">
      <c r="A76" s="327" t="s">
        <v>97</v>
      </c>
      <c r="B76" s="197"/>
      <c r="C76" s="210">
        <f t="shared" ref="C76:H76" si="15">SUM(C77:C86)</f>
        <v>110105151.67999999</v>
      </c>
      <c r="D76" s="207">
        <f t="shared" si="15"/>
        <v>17425600</v>
      </c>
      <c r="E76" s="200">
        <f t="shared" si="15"/>
        <v>32712800</v>
      </c>
      <c r="F76" s="200">
        <f t="shared" si="15"/>
        <v>20040212.069999997</v>
      </c>
      <c r="G76" s="200">
        <f t="shared" si="15"/>
        <v>29568601.169999998</v>
      </c>
      <c r="H76" s="200">
        <f t="shared" si="15"/>
        <v>13350836.540000001</v>
      </c>
      <c r="I76" s="85">
        <f t="shared" si="13"/>
        <v>16217764.629999997</v>
      </c>
      <c r="J76" s="326">
        <f t="shared" si="5"/>
        <v>1.2147377118587654</v>
      </c>
      <c r="K76" s="211">
        <f>SUM(K77:K86)</f>
        <v>32712800</v>
      </c>
      <c r="L76" s="21"/>
    </row>
    <row r="77" spans="1:12" s="285" customFormat="1" x14ac:dyDescent="0.25">
      <c r="A77" s="330" t="s">
        <v>1074</v>
      </c>
      <c r="B77" s="197"/>
      <c r="C77" s="366">
        <f>-'C2Q'!B76</f>
        <v>43514.74</v>
      </c>
      <c r="D77" s="366">
        <f>-'C2Q'!C76</f>
        <v>13600</v>
      </c>
      <c r="E77" s="331">
        <f>-'C2Q'!D76</f>
        <v>13800</v>
      </c>
      <c r="F77" s="331">
        <f>-'C2Q'!E76</f>
        <v>1133.3399999999999</v>
      </c>
      <c r="G77" s="331">
        <f>-'C2Q'!F76</f>
        <v>11333.4</v>
      </c>
      <c r="H77" s="331">
        <f>-'C2Q'!G76</f>
        <v>11419.08</v>
      </c>
      <c r="I77" s="85">
        <f t="shared" si="13"/>
        <v>-85.680000000000291</v>
      </c>
      <c r="J77" s="326">
        <f t="shared" si="5"/>
        <v>-7.503231433705718E-3</v>
      </c>
      <c r="K77" s="332">
        <f>-'C2Q'!J76</f>
        <v>13800</v>
      </c>
      <c r="L77" s="21"/>
    </row>
    <row r="78" spans="1:12" s="285" customFormat="1" x14ac:dyDescent="0.25">
      <c r="A78" s="330" t="s">
        <v>1075</v>
      </c>
      <c r="B78" s="197"/>
      <c r="C78" s="366">
        <f>-'C2Q'!B77</f>
        <v>2180978.12</v>
      </c>
      <c r="D78" s="366">
        <f>-'C2Q'!C77</f>
        <v>150100</v>
      </c>
      <c r="E78" s="331">
        <f>-'C2Q'!D77</f>
        <v>150100</v>
      </c>
      <c r="F78" s="331">
        <f>-'C2Q'!E77</f>
        <v>12508.33</v>
      </c>
      <c r="G78" s="331">
        <f>-'C2Q'!F77</f>
        <v>125083.3</v>
      </c>
      <c r="H78" s="331">
        <f>-'C2Q'!G77</f>
        <v>125083.33</v>
      </c>
      <c r="I78" s="85">
        <f t="shared" si="13"/>
        <v>-2.9999999998835847E-2</v>
      </c>
      <c r="J78" s="326">
        <f t="shared" si="5"/>
        <v>-2.3984011297777126E-7</v>
      </c>
      <c r="K78" s="332">
        <f>-'C2Q'!J77</f>
        <v>150100</v>
      </c>
      <c r="L78" s="21"/>
    </row>
    <row r="79" spans="1:12" s="285" customFormat="1" x14ac:dyDescent="0.25">
      <c r="A79" s="330" t="s">
        <v>1076</v>
      </c>
      <c r="B79" s="197"/>
      <c r="C79" s="366">
        <f>-'C2Q'!B78</f>
        <v>0</v>
      </c>
      <c r="D79" s="366">
        <f>-'C2Q'!C78</f>
        <v>0</v>
      </c>
      <c r="E79" s="331">
        <f>-'C2Q'!D78</f>
        <v>0</v>
      </c>
      <c r="F79" s="331">
        <f>-'C2Q'!E78</f>
        <v>0</v>
      </c>
      <c r="G79" s="331">
        <f>-'C2Q'!F78</f>
        <v>0</v>
      </c>
      <c r="H79" s="331">
        <f>-'C2Q'!G78</f>
        <v>0</v>
      </c>
      <c r="I79" s="85">
        <f t="shared" si="13"/>
        <v>0</v>
      </c>
      <c r="J79" s="326" t="str">
        <f t="shared" si="5"/>
        <v/>
      </c>
      <c r="K79" s="332">
        <f>-'C2Q'!J78</f>
        <v>0</v>
      </c>
      <c r="L79" s="21"/>
    </row>
    <row r="80" spans="1:12" s="285" customFormat="1" x14ac:dyDescent="0.25">
      <c r="A80" s="330" t="s">
        <v>1077</v>
      </c>
      <c r="B80" s="197"/>
      <c r="C80" s="366">
        <f>-'C2Q'!B79</f>
        <v>100570210.08</v>
      </c>
      <c r="D80" s="366">
        <f>-'C2Q'!C79</f>
        <v>1911700</v>
      </c>
      <c r="E80" s="331">
        <f>-'C2Q'!D79</f>
        <v>2811700</v>
      </c>
      <c r="F80" s="331">
        <f>-'C2Q'!E79</f>
        <v>181497.05</v>
      </c>
      <c r="G80" s="331">
        <f>-'C2Q'!F79</f>
        <v>12451259.42</v>
      </c>
      <c r="H80" s="331">
        <f>-'C2Q'!G79</f>
        <v>12659101.74</v>
      </c>
      <c r="I80" s="85">
        <f t="shared" si="13"/>
        <v>-207842.3200000003</v>
      </c>
      <c r="J80" s="326">
        <f t="shared" si="5"/>
        <v>-1.6418409794690558E-2</v>
      </c>
      <c r="K80" s="332">
        <f>-'C2Q'!J79</f>
        <v>2811700</v>
      </c>
      <c r="L80" s="21"/>
    </row>
    <row r="81" spans="1:12" s="285" customFormat="1" x14ac:dyDescent="0.25">
      <c r="A81" s="330" t="s">
        <v>1078</v>
      </c>
      <c r="B81" s="197"/>
      <c r="C81" s="366">
        <f>-'C2Q'!B80</f>
        <v>1087238.75</v>
      </c>
      <c r="D81" s="366">
        <f>-'C2Q'!C80</f>
        <v>3245800</v>
      </c>
      <c r="E81" s="331">
        <f>-'C2Q'!D80</f>
        <v>17145800</v>
      </c>
      <c r="F81" s="331">
        <f>-'C2Q'!E80</f>
        <v>19442633.629999999</v>
      </c>
      <c r="G81" s="331">
        <f>-'C2Q'!F80</f>
        <v>13188879.539999999</v>
      </c>
      <c r="H81" s="331">
        <f>-'C2Q'!G80</f>
        <v>-5333181.82</v>
      </c>
      <c r="I81" s="85">
        <f t="shared" si="13"/>
        <v>18522061.359999999</v>
      </c>
      <c r="J81" s="326">
        <f t="shared" si="5"/>
        <v>-3.472985168167396</v>
      </c>
      <c r="K81" s="332">
        <f>-'C2Q'!J80</f>
        <v>17145800</v>
      </c>
      <c r="L81" s="21"/>
    </row>
    <row r="82" spans="1:12" s="285" customFormat="1" x14ac:dyDescent="0.25">
      <c r="A82" s="330" t="s">
        <v>1079</v>
      </c>
      <c r="B82" s="197"/>
      <c r="C82" s="366">
        <f>-'C2Q'!B81</f>
        <v>0</v>
      </c>
      <c r="D82" s="366">
        <f>-'C2Q'!C81</f>
        <v>0</v>
      </c>
      <c r="E82" s="331">
        <f>-'C2Q'!D81</f>
        <v>0</v>
      </c>
      <c r="F82" s="331">
        <f>-'C2Q'!E81</f>
        <v>0</v>
      </c>
      <c r="G82" s="331">
        <f>-'C2Q'!F81</f>
        <v>0</v>
      </c>
      <c r="H82" s="331">
        <f>-'C2Q'!G81</f>
        <v>0</v>
      </c>
      <c r="I82" s="85">
        <f t="shared" si="13"/>
        <v>0</v>
      </c>
      <c r="J82" s="326" t="str">
        <f t="shared" si="5"/>
        <v/>
      </c>
      <c r="K82" s="332">
        <f>-'C2Q'!J81</f>
        <v>0</v>
      </c>
      <c r="L82" s="21"/>
    </row>
    <row r="83" spans="1:12" s="285" customFormat="1" ht="22.5" x14ac:dyDescent="0.25">
      <c r="A83" s="330" t="s">
        <v>1080</v>
      </c>
      <c r="B83" s="197"/>
      <c r="C83" s="366">
        <f>-'C2Q'!B82</f>
        <v>2095058</v>
      </c>
      <c r="D83" s="366">
        <f>-'C2Q'!C82</f>
        <v>1456400</v>
      </c>
      <c r="E83" s="331">
        <f>-'C2Q'!D82</f>
        <v>1943100</v>
      </c>
      <c r="F83" s="331">
        <f>-'C2Q'!E82</f>
        <v>179288.58</v>
      </c>
      <c r="G83" s="331">
        <f>-'C2Q'!F82</f>
        <v>1818649.48</v>
      </c>
      <c r="H83" s="331">
        <f>-'C2Q'!G82</f>
        <v>1598670.14</v>
      </c>
      <c r="I83" s="85">
        <f t="shared" si="13"/>
        <v>219979.34000000008</v>
      </c>
      <c r="J83" s="326">
        <f t="shared" si="5"/>
        <v>0.13760145667073015</v>
      </c>
      <c r="K83" s="332">
        <f>-'C2Q'!J82</f>
        <v>1943100</v>
      </c>
      <c r="L83" s="21"/>
    </row>
    <row r="84" spans="1:12" s="285" customFormat="1" x14ac:dyDescent="0.25">
      <c r="A84" s="330" t="s">
        <v>1081</v>
      </c>
      <c r="B84" s="197"/>
      <c r="C84" s="366">
        <f>-'C2Q'!B83</f>
        <v>4128151.99</v>
      </c>
      <c r="D84" s="366">
        <f>-'C2Q'!C83</f>
        <v>10648000</v>
      </c>
      <c r="E84" s="331">
        <f>-'C2Q'!D83</f>
        <v>10648300</v>
      </c>
      <c r="F84" s="331">
        <f>-'C2Q'!E83</f>
        <v>223151.14</v>
      </c>
      <c r="G84" s="331">
        <f>-'C2Q'!F83</f>
        <v>1973396.03</v>
      </c>
      <c r="H84" s="331">
        <f>-'C2Q'!G83</f>
        <v>4289744.07</v>
      </c>
      <c r="I84" s="85">
        <f t="shared" si="13"/>
        <v>-2316348.04</v>
      </c>
      <c r="J84" s="326">
        <f t="shared" si="5"/>
        <v>-0.53997348144827673</v>
      </c>
      <c r="K84" s="332">
        <f>-'C2Q'!J83</f>
        <v>10648300</v>
      </c>
      <c r="L84" s="21"/>
    </row>
    <row r="85" spans="1:12" s="285" customFormat="1" x14ac:dyDescent="0.25">
      <c r="A85" s="330" t="s">
        <v>1082</v>
      </c>
      <c r="B85" s="197"/>
      <c r="C85" s="366">
        <f>-'C2Q'!B84</f>
        <v>0</v>
      </c>
      <c r="D85" s="366">
        <f>-'C2Q'!C84</f>
        <v>0</v>
      </c>
      <c r="E85" s="331">
        <f>-'C2Q'!D84</f>
        <v>0</v>
      </c>
      <c r="F85" s="331">
        <f>-'C2Q'!E84</f>
        <v>0</v>
      </c>
      <c r="G85" s="331">
        <f>-'C2Q'!F84</f>
        <v>0</v>
      </c>
      <c r="H85" s="331">
        <f>-'C2Q'!G84</f>
        <v>0</v>
      </c>
      <c r="I85" s="85">
        <f t="shared" si="13"/>
        <v>0</v>
      </c>
      <c r="J85" s="326" t="str">
        <f t="shared" ref="J85:J148" si="16">IF(H85=0,"",I85/H85)</f>
        <v/>
      </c>
      <c r="K85" s="332">
        <f>-'C2Q'!J84</f>
        <v>0</v>
      </c>
      <c r="L85" s="21"/>
    </row>
    <row r="86" spans="1:12" s="285" customFormat="1" x14ac:dyDescent="0.25">
      <c r="A86" s="330" t="s">
        <v>1083</v>
      </c>
      <c r="B86" s="197"/>
      <c r="C86" s="366">
        <f>-'C2Q'!B85</f>
        <v>0</v>
      </c>
      <c r="D86" s="366">
        <f>-'C2Q'!C85</f>
        <v>0</v>
      </c>
      <c r="E86" s="331">
        <f>-'C2Q'!D85</f>
        <v>0</v>
      </c>
      <c r="F86" s="331">
        <f>-'C2Q'!E85</f>
        <v>0</v>
      </c>
      <c r="G86" s="331">
        <f>-'C2Q'!F85</f>
        <v>0</v>
      </c>
      <c r="H86" s="331">
        <f>-'C2Q'!G85</f>
        <v>0</v>
      </c>
      <c r="I86" s="85">
        <f t="shared" si="13"/>
        <v>0</v>
      </c>
      <c r="J86" s="326" t="str">
        <f t="shared" si="16"/>
        <v/>
      </c>
      <c r="K86" s="332">
        <f>-'C2Q'!J85</f>
        <v>0</v>
      </c>
      <c r="L86" s="21"/>
    </row>
    <row r="87" spans="1:12" s="285" customFormat="1" x14ac:dyDescent="0.25">
      <c r="A87" s="327" t="s">
        <v>98</v>
      </c>
      <c r="B87" s="197"/>
      <c r="C87" s="210">
        <f t="shared" ref="C87:H87" si="17">SUM(C88:C91)</f>
        <v>78577135.189999998</v>
      </c>
      <c r="D87" s="207">
        <f t="shared" si="17"/>
        <v>58169700</v>
      </c>
      <c r="E87" s="200">
        <f t="shared" si="17"/>
        <v>58532500</v>
      </c>
      <c r="F87" s="200">
        <f t="shared" si="17"/>
        <v>2410104.69</v>
      </c>
      <c r="G87" s="200">
        <f t="shared" si="17"/>
        <v>57996697.259999998</v>
      </c>
      <c r="H87" s="200">
        <f t="shared" si="17"/>
        <v>56539213.390000001</v>
      </c>
      <c r="I87" s="85">
        <f t="shared" si="13"/>
        <v>1457483.8699999973</v>
      </c>
      <c r="J87" s="326">
        <f t="shared" si="16"/>
        <v>2.5778283471092296E-2</v>
      </c>
      <c r="K87" s="211">
        <f>SUM(K88:K91)</f>
        <v>58532500</v>
      </c>
      <c r="L87" s="21"/>
    </row>
    <row r="88" spans="1:12" s="285" customFormat="1" x14ac:dyDescent="0.25">
      <c r="A88" s="330" t="s">
        <v>1086</v>
      </c>
      <c r="B88" s="197"/>
      <c r="C88" s="366">
        <f>-'C2Q'!B87</f>
        <v>101644.24</v>
      </c>
      <c r="D88" s="366">
        <f>-'C2Q'!C87</f>
        <v>0</v>
      </c>
      <c r="E88" s="331">
        <f>-'C2Q'!D87</f>
        <v>0</v>
      </c>
      <c r="F88" s="331">
        <f>-'C2Q'!E87</f>
        <v>0</v>
      </c>
      <c r="G88" s="331">
        <f>-'C2Q'!F87</f>
        <v>0</v>
      </c>
      <c r="H88" s="331">
        <f>-'C2Q'!G87</f>
        <v>0</v>
      </c>
      <c r="I88" s="85">
        <f t="shared" si="13"/>
        <v>0</v>
      </c>
      <c r="J88" s="326" t="str">
        <f t="shared" si="16"/>
        <v/>
      </c>
      <c r="K88" s="332">
        <f>-'C2Q'!J87</f>
        <v>0</v>
      </c>
      <c r="L88" s="21"/>
    </row>
    <row r="89" spans="1:12" s="285" customFormat="1" x14ac:dyDescent="0.25">
      <c r="A89" s="330" t="s">
        <v>1087</v>
      </c>
      <c r="B89" s="197"/>
      <c r="C89" s="366">
        <f>-'C2Q'!B88</f>
        <v>13209934.689999999</v>
      </c>
      <c r="D89" s="366">
        <f>-'C2Q'!C88</f>
        <v>12383500</v>
      </c>
      <c r="E89" s="331">
        <f>-'C2Q'!D88</f>
        <v>12383600</v>
      </c>
      <c r="F89" s="331">
        <f>-'C2Q'!E88</f>
        <v>1913240.68</v>
      </c>
      <c r="G89" s="331">
        <f>-'C2Q'!F88</f>
        <v>11893404.59</v>
      </c>
      <c r="H89" s="331">
        <f>-'C2Q'!G88</f>
        <v>10943277.6</v>
      </c>
      <c r="I89" s="85">
        <f t="shared" si="13"/>
        <v>950126.99000000022</v>
      </c>
      <c r="J89" s="326">
        <f t="shared" si="16"/>
        <v>8.6822890246337187E-2</v>
      </c>
      <c r="K89" s="332">
        <f>-'C2Q'!J88</f>
        <v>12383600</v>
      </c>
      <c r="L89" s="21"/>
    </row>
    <row r="90" spans="1:12" s="285" customFormat="1" x14ac:dyDescent="0.25">
      <c r="A90" s="330" t="s">
        <v>150</v>
      </c>
      <c r="B90" s="197"/>
      <c r="C90" s="366">
        <f>-'C2Q'!B89</f>
        <v>56264679.049999997</v>
      </c>
      <c r="D90" s="366">
        <f>-'C2Q'!C89</f>
        <v>30734800</v>
      </c>
      <c r="E90" s="331">
        <f>-'C2Q'!D89</f>
        <v>30397500</v>
      </c>
      <c r="F90" s="331">
        <f>-'C2Q'!E89</f>
        <v>-152525.41</v>
      </c>
      <c r="G90" s="331">
        <f>-'C2Q'!F89</f>
        <v>32621971.32</v>
      </c>
      <c r="H90" s="331">
        <f>-'C2Q'!G89</f>
        <v>30436321.5</v>
      </c>
      <c r="I90" s="85">
        <f t="shared" si="13"/>
        <v>2185649.8200000003</v>
      </c>
      <c r="J90" s="326">
        <f t="shared" si="16"/>
        <v>7.1810577372170295E-2</v>
      </c>
      <c r="K90" s="332">
        <f>-'C2Q'!J89</f>
        <v>30397500</v>
      </c>
      <c r="L90" s="21"/>
    </row>
    <row r="91" spans="1:12" s="285" customFormat="1" x14ac:dyDescent="0.25">
      <c r="A91" s="330" t="s">
        <v>1088</v>
      </c>
      <c r="B91" s="197"/>
      <c r="C91" s="366">
        <f>-'C2Q'!B90</f>
        <v>9000877.2100000009</v>
      </c>
      <c r="D91" s="366">
        <f>-'C2Q'!C90</f>
        <v>15051400</v>
      </c>
      <c r="E91" s="331">
        <f>-'C2Q'!D90</f>
        <v>15751400</v>
      </c>
      <c r="F91" s="331">
        <f>-'C2Q'!E90</f>
        <v>649389.42000000004</v>
      </c>
      <c r="G91" s="331">
        <f>-'C2Q'!F90</f>
        <v>13481321.35</v>
      </c>
      <c r="H91" s="331">
        <f>-'C2Q'!G90</f>
        <v>15159614.289999999</v>
      </c>
      <c r="I91" s="85">
        <f t="shared" si="13"/>
        <v>-1678292.9399999995</v>
      </c>
      <c r="J91" s="326">
        <f t="shared" si="16"/>
        <v>-0.1107081557547992</v>
      </c>
      <c r="K91" s="332">
        <f>-'C2Q'!J90</f>
        <v>15751400</v>
      </c>
      <c r="L91" s="21"/>
    </row>
    <row r="92" spans="1:12" s="285" customFormat="1" x14ac:dyDescent="0.25">
      <c r="A92" s="327" t="s">
        <v>99</v>
      </c>
      <c r="B92" s="197"/>
      <c r="C92" s="210">
        <f>SUM(C93:C98)</f>
        <v>99614.46</v>
      </c>
      <c r="D92" s="207">
        <f t="shared" ref="D92:K92" si="18">SUM(D93:D98)</f>
        <v>65800</v>
      </c>
      <c r="E92" s="200">
        <f t="shared" si="18"/>
        <v>65900</v>
      </c>
      <c r="F92" s="200">
        <f t="shared" si="18"/>
        <v>4550</v>
      </c>
      <c r="G92" s="200">
        <f t="shared" si="18"/>
        <v>221611.81</v>
      </c>
      <c r="H92" s="200">
        <f t="shared" si="18"/>
        <v>221654.68</v>
      </c>
      <c r="I92" s="85">
        <f t="shared" si="13"/>
        <v>-42.869999999995343</v>
      </c>
      <c r="J92" s="326">
        <f t="shared" si="16"/>
        <v>-1.9340895486616997E-4</v>
      </c>
      <c r="K92" s="211">
        <f t="shared" si="18"/>
        <v>65900</v>
      </c>
      <c r="L92" s="21"/>
    </row>
    <row r="93" spans="1:12" s="285" customFormat="1" x14ac:dyDescent="0.25">
      <c r="A93" s="330" t="s">
        <v>1089</v>
      </c>
      <c r="B93" s="197"/>
      <c r="C93" s="366">
        <f>-'C2Q'!B92</f>
        <v>0</v>
      </c>
      <c r="D93" s="366">
        <f>-'C2Q'!C92</f>
        <v>0</v>
      </c>
      <c r="E93" s="331">
        <f>-'C2Q'!D92</f>
        <v>0</v>
      </c>
      <c r="F93" s="331">
        <f>-'C2Q'!E92</f>
        <v>0</v>
      </c>
      <c r="G93" s="331">
        <f>-'C2Q'!F92</f>
        <v>0</v>
      </c>
      <c r="H93" s="331">
        <f>-'C2Q'!G92</f>
        <v>0</v>
      </c>
      <c r="I93" s="85">
        <f t="shared" si="13"/>
        <v>0</v>
      </c>
      <c r="J93" s="326" t="str">
        <f t="shared" si="16"/>
        <v/>
      </c>
      <c r="K93" s="332">
        <f>-'C2Q'!J92</f>
        <v>0</v>
      </c>
      <c r="L93" s="21"/>
    </row>
    <row r="94" spans="1:12" s="285" customFormat="1" x14ac:dyDescent="0.25">
      <c r="A94" s="330" t="s">
        <v>1090</v>
      </c>
      <c r="B94" s="197"/>
      <c r="C94" s="366">
        <f>-'C2Q'!B93</f>
        <v>0</v>
      </c>
      <c r="D94" s="366">
        <f>-'C2Q'!C93</f>
        <v>0</v>
      </c>
      <c r="E94" s="331">
        <f>-'C2Q'!D93</f>
        <v>0</v>
      </c>
      <c r="F94" s="331">
        <f>-'C2Q'!E93</f>
        <v>0</v>
      </c>
      <c r="G94" s="331">
        <f>-'C2Q'!F93</f>
        <v>0</v>
      </c>
      <c r="H94" s="331">
        <f>-'C2Q'!G93</f>
        <v>0</v>
      </c>
      <c r="I94" s="85">
        <f t="shared" si="13"/>
        <v>0</v>
      </c>
      <c r="J94" s="326" t="str">
        <f t="shared" si="16"/>
        <v/>
      </c>
      <c r="K94" s="332">
        <f>-'C2Q'!J93</f>
        <v>0</v>
      </c>
      <c r="L94" s="21"/>
    </row>
    <row r="95" spans="1:12" s="285" customFormat="1" x14ac:dyDescent="0.25">
      <c r="A95" s="330" t="s">
        <v>1091</v>
      </c>
      <c r="B95" s="197"/>
      <c r="C95" s="366">
        <f>-'C2Q'!B94</f>
        <v>0</v>
      </c>
      <c r="D95" s="366">
        <f>-'C2Q'!C94</f>
        <v>0</v>
      </c>
      <c r="E95" s="331">
        <f>-'C2Q'!D94</f>
        <v>0</v>
      </c>
      <c r="F95" s="331">
        <f>-'C2Q'!E94</f>
        <v>0</v>
      </c>
      <c r="G95" s="331">
        <f>-'C2Q'!F94</f>
        <v>0</v>
      </c>
      <c r="H95" s="331">
        <f>-'C2Q'!G94</f>
        <v>0</v>
      </c>
      <c r="I95" s="85">
        <f t="shared" si="13"/>
        <v>0</v>
      </c>
      <c r="J95" s="326" t="str">
        <f t="shared" si="16"/>
        <v/>
      </c>
      <c r="K95" s="332">
        <f>-'C2Q'!J94</f>
        <v>0</v>
      </c>
      <c r="L95" s="21"/>
    </row>
    <row r="96" spans="1:12" s="285" customFormat="1" x14ac:dyDescent="0.25">
      <c r="A96" s="330" t="s">
        <v>1092</v>
      </c>
      <c r="B96" s="197"/>
      <c r="C96" s="366">
        <f>-'C2Q'!B95</f>
        <v>0</v>
      </c>
      <c r="D96" s="366">
        <f>-'C2Q'!C95</f>
        <v>0</v>
      </c>
      <c r="E96" s="331">
        <f>-'C2Q'!D95</f>
        <v>0</v>
      </c>
      <c r="F96" s="331">
        <f>-'C2Q'!E95</f>
        <v>0</v>
      </c>
      <c r="G96" s="331">
        <f>-'C2Q'!F95</f>
        <v>0</v>
      </c>
      <c r="H96" s="331">
        <f>-'C2Q'!G95</f>
        <v>0</v>
      </c>
      <c r="I96" s="85">
        <f t="shared" si="13"/>
        <v>0</v>
      </c>
      <c r="J96" s="326" t="str">
        <f t="shared" si="16"/>
        <v/>
      </c>
      <c r="K96" s="332">
        <f>-'C2Q'!J95</f>
        <v>0</v>
      </c>
      <c r="L96" s="21"/>
    </row>
    <row r="97" spans="1:12" s="285" customFormat="1" x14ac:dyDescent="0.25">
      <c r="A97" s="330" t="s">
        <v>151</v>
      </c>
      <c r="B97" s="197"/>
      <c r="C97" s="366">
        <f>-'C2Q'!B96</f>
        <v>99614.46</v>
      </c>
      <c r="D97" s="366">
        <f>-'C2Q'!C96</f>
        <v>65800</v>
      </c>
      <c r="E97" s="331">
        <f>-'C2Q'!D96</f>
        <v>65900</v>
      </c>
      <c r="F97" s="331">
        <f>-'C2Q'!E96</f>
        <v>4550</v>
      </c>
      <c r="G97" s="331">
        <f>-'C2Q'!F96</f>
        <v>221611.81</v>
      </c>
      <c r="H97" s="331">
        <f>-'C2Q'!G96</f>
        <v>221654.68</v>
      </c>
      <c r="I97" s="85">
        <f t="shared" si="13"/>
        <v>-42.869999999995343</v>
      </c>
      <c r="J97" s="326">
        <f t="shared" si="16"/>
        <v>-1.9340895486616997E-4</v>
      </c>
      <c r="K97" s="332">
        <f>-'C2Q'!J96</f>
        <v>65900</v>
      </c>
      <c r="L97" s="21"/>
    </row>
    <row r="98" spans="1:12" s="285" customFormat="1" x14ac:dyDescent="0.25">
      <c r="A98" s="330" t="s">
        <v>1093</v>
      </c>
      <c r="B98" s="197"/>
      <c r="C98" s="366">
        <f>-'C2Q'!B97</f>
        <v>0</v>
      </c>
      <c r="D98" s="366">
        <f>-'C2Q'!C97</f>
        <v>0</v>
      </c>
      <c r="E98" s="331">
        <f>-'C2Q'!D97</f>
        <v>0</v>
      </c>
      <c r="F98" s="331">
        <f>-'C2Q'!E97</f>
        <v>0</v>
      </c>
      <c r="G98" s="331">
        <f>-'C2Q'!F97</f>
        <v>0</v>
      </c>
      <c r="H98" s="331">
        <f>-'C2Q'!G97</f>
        <v>0</v>
      </c>
      <c r="I98" s="85">
        <f t="shared" si="13"/>
        <v>0</v>
      </c>
      <c r="J98" s="326" t="str">
        <f t="shared" si="16"/>
        <v/>
      </c>
      <c r="K98" s="332">
        <f>-'C2Q'!J97</f>
        <v>0</v>
      </c>
      <c r="L98" s="21"/>
    </row>
    <row r="99" spans="1:12" s="285" customFormat="1" x14ac:dyDescent="0.25">
      <c r="A99" s="311" t="s">
        <v>100</v>
      </c>
      <c r="B99" s="197"/>
      <c r="C99" s="591">
        <f>C100+C104+C108+C113</f>
        <v>3922614116.1999998</v>
      </c>
      <c r="D99" s="53">
        <f t="shared" ref="D99:H99" si="19">D100+D104+D108+D113</f>
        <v>4547942000</v>
      </c>
      <c r="E99" s="52">
        <f t="shared" si="19"/>
        <v>4269019600</v>
      </c>
      <c r="F99" s="52">
        <f t="shared" si="19"/>
        <v>281637338.52999997</v>
      </c>
      <c r="G99" s="52">
        <f t="shared" si="19"/>
        <v>3518080077.7399998</v>
      </c>
      <c r="H99" s="52">
        <f t="shared" si="19"/>
        <v>3531156675.1799998</v>
      </c>
      <c r="I99" s="85">
        <f t="shared" si="13"/>
        <v>-13076597.440000057</v>
      </c>
      <c r="J99" s="326">
        <f t="shared" si="16"/>
        <v>-3.7032051089416701E-3</v>
      </c>
      <c r="K99" s="79">
        <f>K100+K104+K108+K113</f>
        <v>4269019600</v>
      </c>
      <c r="L99" s="21"/>
    </row>
    <row r="100" spans="1:12" s="285" customFormat="1" x14ac:dyDescent="0.25">
      <c r="A100" s="327" t="s">
        <v>1094</v>
      </c>
      <c r="B100" s="197"/>
      <c r="C100" s="210">
        <f>SUM(C101:C103)</f>
        <v>2112825148.0999999</v>
      </c>
      <c r="D100" s="207">
        <f t="shared" ref="D100:K100" si="20">SUM(D101:D103)</f>
        <v>2626071100</v>
      </c>
      <c r="E100" s="200">
        <f t="shared" si="20"/>
        <v>2439519200</v>
      </c>
      <c r="F100" s="200">
        <f t="shared" si="20"/>
        <v>197159438.38999999</v>
      </c>
      <c r="G100" s="200">
        <f t="shared" si="20"/>
        <v>2008740228.3699999</v>
      </c>
      <c r="H100" s="200">
        <f t="shared" si="20"/>
        <v>1961275578.9799998</v>
      </c>
      <c r="I100" s="85">
        <f t="shared" si="13"/>
        <v>47464649.390000105</v>
      </c>
      <c r="J100" s="326">
        <f t="shared" si="16"/>
        <v>2.4200907765692486E-2</v>
      </c>
      <c r="K100" s="211">
        <f t="shared" si="20"/>
        <v>2439519200</v>
      </c>
      <c r="L100" s="21"/>
    </row>
    <row r="101" spans="1:12" s="285" customFormat="1" x14ac:dyDescent="0.25">
      <c r="A101" s="330" t="s">
        <v>1095</v>
      </c>
      <c r="B101" s="197"/>
      <c r="C101" s="366">
        <f>-'C2Q'!B100</f>
        <v>2107570369.74</v>
      </c>
      <c r="D101" s="366">
        <f>-'C2Q'!C100</f>
        <v>2620841300</v>
      </c>
      <c r="E101" s="331">
        <f>-'C2Q'!D100</f>
        <v>2434289300</v>
      </c>
      <c r="F101" s="331">
        <f>-'C2Q'!E100</f>
        <v>197119638.38999999</v>
      </c>
      <c r="G101" s="331">
        <f>-'C2Q'!F100</f>
        <v>2007652848.3699999</v>
      </c>
      <c r="H101" s="331">
        <f>-'C2Q'!G100</f>
        <v>1960617536.1099999</v>
      </c>
      <c r="I101" s="85">
        <f t="shared" si="13"/>
        <v>47035312.25999999</v>
      </c>
      <c r="J101" s="326">
        <f t="shared" si="16"/>
        <v>2.3990049764280538E-2</v>
      </c>
      <c r="K101" s="332">
        <f>-'C2Q'!J100</f>
        <v>2434289300</v>
      </c>
      <c r="L101" s="21"/>
    </row>
    <row r="102" spans="1:12" s="285" customFormat="1" x14ac:dyDescent="0.25">
      <c r="A102" s="330" t="s">
        <v>1096</v>
      </c>
      <c r="B102" s="197"/>
      <c r="C102" s="366">
        <f>-'C2Q'!B101</f>
        <v>5254778.3600000003</v>
      </c>
      <c r="D102" s="366">
        <f>-'C2Q'!C101</f>
        <v>5229800</v>
      </c>
      <c r="E102" s="331">
        <f>-'C2Q'!D101</f>
        <v>5229900</v>
      </c>
      <c r="F102" s="331">
        <f>-'C2Q'!E101</f>
        <v>39800</v>
      </c>
      <c r="G102" s="331">
        <f>-'C2Q'!F101</f>
        <v>1087380</v>
      </c>
      <c r="H102" s="331">
        <f>-'C2Q'!G101</f>
        <v>658042.87</v>
      </c>
      <c r="I102" s="85">
        <f t="shared" si="13"/>
        <v>429337.13</v>
      </c>
      <c r="J102" s="326">
        <f t="shared" si="16"/>
        <v>0.6524455313982811</v>
      </c>
      <c r="K102" s="332">
        <f>-'C2Q'!J101</f>
        <v>5229900</v>
      </c>
      <c r="L102" s="21"/>
    </row>
    <row r="103" spans="1:12" s="285" customFormat="1" x14ac:dyDescent="0.25">
      <c r="A103" s="330" t="s">
        <v>1097</v>
      </c>
      <c r="B103" s="197"/>
      <c r="C103" s="366">
        <f>-'C2Q'!B102</f>
        <v>0</v>
      </c>
      <c r="D103" s="366">
        <f>-'C2Q'!C102</f>
        <v>0</v>
      </c>
      <c r="E103" s="331">
        <f>-'C2Q'!D102</f>
        <v>0</v>
      </c>
      <c r="F103" s="331">
        <f>-'C2Q'!E102</f>
        <v>0</v>
      </c>
      <c r="G103" s="331">
        <f>-'C2Q'!F102</f>
        <v>0</v>
      </c>
      <c r="H103" s="331">
        <f>-'C2Q'!G102</f>
        <v>0</v>
      </c>
      <c r="I103" s="85">
        <f t="shared" si="13"/>
        <v>0</v>
      </c>
      <c r="J103" s="326" t="str">
        <f t="shared" si="16"/>
        <v/>
      </c>
      <c r="K103" s="332">
        <f>-'C2Q'!J102</f>
        <v>0</v>
      </c>
      <c r="L103" s="21"/>
    </row>
    <row r="104" spans="1:12" s="285" customFormat="1" x14ac:dyDescent="0.25">
      <c r="A104" s="327" t="s">
        <v>1098</v>
      </c>
      <c r="B104" s="197"/>
      <c r="C104" s="210">
        <f>SUM(C105:C107)</f>
        <v>1313685310.6199999</v>
      </c>
      <c r="D104" s="207">
        <f t="shared" ref="D104:K104" si="21">SUM(D105:D107)</f>
        <v>1387082300</v>
      </c>
      <c r="E104" s="200">
        <f t="shared" si="21"/>
        <v>1326659500</v>
      </c>
      <c r="F104" s="200">
        <f t="shared" si="21"/>
        <v>57315160.579999998</v>
      </c>
      <c r="G104" s="200">
        <f t="shared" si="21"/>
        <v>1052446142.27</v>
      </c>
      <c r="H104" s="200">
        <f t="shared" si="21"/>
        <v>1107755092.72</v>
      </c>
      <c r="I104" s="85">
        <f t="shared" si="13"/>
        <v>-55308950.450000048</v>
      </c>
      <c r="J104" s="326">
        <f t="shared" si="16"/>
        <v>-4.9928861364287251E-2</v>
      </c>
      <c r="K104" s="211">
        <f t="shared" si="21"/>
        <v>1326659500</v>
      </c>
      <c r="L104" s="21"/>
    </row>
    <row r="105" spans="1:12" s="285" customFormat="1" x14ac:dyDescent="0.25">
      <c r="A105" s="330" t="s">
        <v>1099</v>
      </c>
      <c r="B105" s="197"/>
      <c r="C105" s="366">
        <f>-'C2Q'!B104</f>
        <v>675083.29</v>
      </c>
      <c r="D105" s="366">
        <f>-'C2Q'!C104</f>
        <v>3160300</v>
      </c>
      <c r="E105" s="331">
        <f>-'C2Q'!D104</f>
        <v>3160500</v>
      </c>
      <c r="F105" s="331">
        <f>-'C2Q'!E104</f>
        <v>54684.76</v>
      </c>
      <c r="G105" s="331">
        <f>-'C2Q'!F104</f>
        <v>546993.96</v>
      </c>
      <c r="H105" s="331">
        <f>-'C2Q'!G104</f>
        <v>1167700.79</v>
      </c>
      <c r="I105" s="85">
        <f t="shared" si="13"/>
        <v>-620706.83000000007</v>
      </c>
      <c r="J105" s="326">
        <f t="shared" si="16"/>
        <v>-0.53156325260343451</v>
      </c>
      <c r="K105" s="332">
        <f>-'C2Q'!J104</f>
        <v>3160500</v>
      </c>
      <c r="L105" s="21"/>
    </row>
    <row r="106" spans="1:12" s="285" customFormat="1" x14ac:dyDescent="0.25">
      <c r="A106" s="330" t="s">
        <v>152</v>
      </c>
      <c r="B106" s="197"/>
      <c r="C106" s="366">
        <f>-'C2Q'!B105</f>
        <v>1313010227.3299999</v>
      </c>
      <c r="D106" s="366">
        <f>-'C2Q'!C105</f>
        <v>1383922000</v>
      </c>
      <c r="E106" s="331">
        <f>-'C2Q'!D105</f>
        <v>1323499000</v>
      </c>
      <c r="F106" s="331">
        <f>-'C2Q'!E105</f>
        <v>57260475.82</v>
      </c>
      <c r="G106" s="331">
        <f>-'C2Q'!F105</f>
        <v>1051899148.3099999</v>
      </c>
      <c r="H106" s="331">
        <f>-'C2Q'!G105</f>
        <v>1106587391.9300001</v>
      </c>
      <c r="I106" s="85">
        <f t="shared" si="13"/>
        <v>-54688243.620000124</v>
      </c>
      <c r="J106" s="326">
        <f t="shared" si="16"/>
        <v>-4.9420627795711922E-2</v>
      </c>
      <c r="K106" s="332">
        <f>-'C2Q'!J105</f>
        <v>1323499000</v>
      </c>
      <c r="L106" s="21"/>
    </row>
    <row r="107" spans="1:12" s="285" customFormat="1" x14ac:dyDescent="0.25">
      <c r="A107" s="330" t="s">
        <v>153</v>
      </c>
      <c r="B107" s="197"/>
      <c r="C107" s="366">
        <f>-'C2Q'!B106</f>
        <v>0</v>
      </c>
      <c r="D107" s="366">
        <f>-'C2Q'!C106</f>
        <v>0</v>
      </c>
      <c r="E107" s="331">
        <f>-'C2Q'!D106</f>
        <v>0</v>
      </c>
      <c r="F107" s="331">
        <f>-'C2Q'!E106</f>
        <v>0</v>
      </c>
      <c r="G107" s="331">
        <f>-'C2Q'!F106</f>
        <v>0</v>
      </c>
      <c r="H107" s="331">
        <f>-'C2Q'!G106</f>
        <v>0</v>
      </c>
      <c r="I107" s="85">
        <f t="shared" si="13"/>
        <v>0</v>
      </c>
      <c r="J107" s="326" t="str">
        <f t="shared" si="16"/>
        <v/>
      </c>
      <c r="K107" s="332">
        <f>-'C2Q'!J106</f>
        <v>0</v>
      </c>
      <c r="L107" s="21"/>
    </row>
    <row r="108" spans="1:12" s="285" customFormat="1" x14ac:dyDescent="0.25">
      <c r="A108" s="327" t="s">
        <v>101</v>
      </c>
      <c r="B108" s="197"/>
      <c r="C108" s="210">
        <f>SUM(C109:C112)</f>
        <v>271259835.32999998</v>
      </c>
      <c r="D108" s="207">
        <f t="shared" ref="D108:K108" si="22">SUM(D109:D112)</f>
        <v>292822100</v>
      </c>
      <c r="E108" s="200">
        <f t="shared" si="22"/>
        <v>263693300</v>
      </c>
      <c r="F108" s="200">
        <f t="shared" si="22"/>
        <v>16381488.84</v>
      </c>
      <c r="G108" s="200">
        <f t="shared" si="22"/>
        <v>243871297.38999999</v>
      </c>
      <c r="H108" s="200">
        <f t="shared" si="22"/>
        <v>242878160.87</v>
      </c>
      <c r="I108" s="85">
        <f t="shared" si="13"/>
        <v>993136.51999998093</v>
      </c>
      <c r="J108" s="326">
        <f t="shared" si="16"/>
        <v>4.0890317863183879E-3</v>
      </c>
      <c r="K108" s="211">
        <f t="shared" si="22"/>
        <v>263693300</v>
      </c>
      <c r="L108" s="21"/>
    </row>
    <row r="109" spans="1:12" s="285" customFormat="1" x14ac:dyDescent="0.25">
      <c r="A109" s="330" t="s">
        <v>156</v>
      </c>
      <c r="B109" s="197"/>
      <c r="C109" s="366">
        <f>-'C2Q'!B108</f>
        <v>55729.49</v>
      </c>
      <c r="D109" s="366">
        <f>-'C2Q'!C108</f>
        <v>27300</v>
      </c>
      <c r="E109" s="331">
        <f>-'C2Q'!D108</f>
        <v>27400</v>
      </c>
      <c r="F109" s="331">
        <f>-'C2Q'!E108</f>
        <v>2275</v>
      </c>
      <c r="G109" s="331">
        <f>-'C2Q'!F108</f>
        <v>22750</v>
      </c>
      <c r="H109" s="331">
        <f>-'C2Q'!G108</f>
        <v>22792.87</v>
      </c>
      <c r="I109" s="85">
        <f t="shared" si="13"/>
        <v>-42.869999999998981</v>
      </c>
      <c r="J109" s="326">
        <f t="shared" si="16"/>
        <v>-1.880851336404717E-3</v>
      </c>
      <c r="K109" s="332">
        <f>-'C2Q'!J108</f>
        <v>27400</v>
      </c>
      <c r="L109" s="21"/>
    </row>
    <row r="110" spans="1:12" s="285" customFormat="1" x14ac:dyDescent="0.25">
      <c r="A110" s="330" t="s">
        <v>154</v>
      </c>
      <c r="B110" s="197"/>
      <c r="C110" s="366">
        <f>-'C2Q'!B109</f>
        <v>270415614.64999998</v>
      </c>
      <c r="D110" s="366">
        <f>-'C2Q'!C109</f>
        <v>291939300</v>
      </c>
      <c r="E110" s="331">
        <f>-'C2Q'!D109</f>
        <v>255540400</v>
      </c>
      <c r="F110" s="331">
        <f>-'C2Q'!E109</f>
        <v>12169110.51</v>
      </c>
      <c r="G110" s="331">
        <f>-'C2Q'!F109</f>
        <v>234872048.06999999</v>
      </c>
      <c r="H110" s="331">
        <f>-'C2Q'!G109</f>
        <v>239098806.81</v>
      </c>
      <c r="I110" s="85">
        <f t="shared" si="13"/>
        <v>-4226758.7400000095</v>
      </c>
      <c r="J110" s="326">
        <f t="shared" si="16"/>
        <v>-1.7677874667767813E-2</v>
      </c>
      <c r="K110" s="332">
        <f>-'C2Q'!J109</f>
        <v>255540400</v>
      </c>
      <c r="L110" s="21"/>
    </row>
    <row r="111" spans="1:12" s="285" customFormat="1" x14ac:dyDescent="0.25">
      <c r="A111" s="330" t="s">
        <v>155</v>
      </c>
      <c r="B111" s="197"/>
      <c r="C111" s="366">
        <f>-'C2Q'!B110</f>
        <v>29414.74</v>
      </c>
      <c r="D111" s="366">
        <f>-'C2Q'!C110</f>
        <v>484500</v>
      </c>
      <c r="E111" s="331">
        <f>-'C2Q'!D110</f>
        <v>7754500</v>
      </c>
      <c r="F111" s="331">
        <f>-'C2Q'!E110</f>
        <v>4179185.92</v>
      </c>
      <c r="G111" s="331">
        <f>-'C2Q'!F110</f>
        <v>8667314.0399999991</v>
      </c>
      <c r="H111" s="331">
        <f>-'C2Q'!G110</f>
        <v>3447390.52</v>
      </c>
      <c r="I111" s="85">
        <f t="shared" si="13"/>
        <v>5219923.5199999996</v>
      </c>
      <c r="J111" s="326">
        <f t="shared" si="16"/>
        <v>1.5141665818585588</v>
      </c>
      <c r="K111" s="332">
        <f>-'C2Q'!J110</f>
        <v>7754500</v>
      </c>
      <c r="L111" s="21"/>
    </row>
    <row r="112" spans="1:12" s="285" customFormat="1" x14ac:dyDescent="0.25">
      <c r="A112" s="330" t="s">
        <v>1100</v>
      </c>
      <c r="B112" s="197"/>
      <c r="C112" s="366">
        <f>-'C2Q'!B111</f>
        <v>759076.45</v>
      </c>
      <c r="D112" s="366">
        <f>-'C2Q'!C111</f>
        <v>371000</v>
      </c>
      <c r="E112" s="331">
        <f>-'C2Q'!D111</f>
        <v>371000</v>
      </c>
      <c r="F112" s="331">
        <f>-'C2Q'!E111</f>
        <v>30917.41</v>
      </c>
      <c r="G112" s="331">
        <f>-'C2Q'!F111</f>
        <v>309185.28000000003</v>
      </c>
      <c r="H112" s="331">
        <f>-'C2Q'!G111</f>
        <v>309170.67</v>
      </c>
      <c r="I112" s="85">
        <f t="shared" si="13"/>
        <v>14.610000000044238</v>
      </c>
      <c r="J112" s="326">
        <f t="shared" si="16"/>
        <v>4.7255452789374355E-5</v>
      </c>
      <c r="K112" s="332">
        <f>-'C2Q'!J111</f>
        <v>371000</v>
      </c>
      <c r="L112" s="21"/>
    </row>
    <row r="113" spans="1:12" s="285" customFormat="1" x14ac:dyDescent="0.25">
      <c r="A113" s="327" t="s">
        <v>102</v>
      </c>
      <c r="B113" s="197"/>
      <c r="C113" s="210">
        <f t="shared" ref="C113:H113" si="23">SUM(C114:C117)</f>
        <v>224843822.15000001</v>
      </c>
      <c r="D113" s="207">
        <f t="shared" si="23"/>
        <v>241966500</v>
      </c>
      <c r="E113" s="200">
        <f t="shared" si="23"/>
        <v>239147600</v>
      </c>
      <c r="F113" s="200">
        <f t="shared" si="23"/>
        <v>10781250.720000001</v>
      </c>
      <c r="G113" s="200">
        <f t="shared" si="23"/>
        <v>213022409.70999998</v>
      </c>
      <c r="H113" s="200">
        <f t="shared" si="23"/>
        <v>219247842.60999998</v>
      </c>
      <c r="I113" s="85">
        <f t="shared" si="13"/>
        <v>-6225432.900000006</v>
      </c>
      <c r="J113" s="326">
        <f t="shared" si="16"/>
        <v>-2.8394500150561854E-2</v>
      </c>
      <c r="K113" s="211">
        <f>SUM(K114:K117)</f>
        <v>239147600</v>
      </c>
      <c r="L113" s="21"/>
    </row>
    <row r="114" spans="1:12" s="285" customFormat="1" x14ac:dyDescent="0.25">
      <c r="A114" s="330" t="s">
        <v>1101</v>
      </c>
      <c r="B114" s="197"/>
      <c r="C114" s="366">
        <f>-'C2Q'!B113</f>
        <v>0</v>
      </c>
      <c r="D114" s="366">
        <f>-'C2Q'!C113</f>
        <v>0</v>
      </c>
      <c r="E114" s="331">
        <f>-'C2Q'!D113</f>
        <v>0</v>
      </c>
      <c r="F114" s="331">
        <f>-'C2Q'!E113</f>
        <v>0</v>
      </c>
      <c r="G114" s="331">
        <f>-'C2Q'!F113</f>
        <v>0</v>
      </c>
      <c r="H114" s="331">
        <f>-'C2Q'!G113</f>
        <v>0</v>
      </c>
      <c r="I114" s="85">
        <f t="shared" si="13"/>
        <v>0</v>
      </c>
      <c r="J114" s="326" t="str">
        <f t="shared" si="16"/>
        <v/>
      </c>
      <c r="K114" s="332">
        <f>-'C2Q'!J113</f>
        <v>0</v>
      </c>
      <c r="L114" s="21"/>
    </row>
    <row r="115" spans="1:12" s="285" customFormat="1" x14ac:dyDescent="0.25">
      <c r="A115" s="330" t="s">
        <v>1102</v>
      </c>
      <c r="B115" s="197"/>
      <c r="C115" s="366">
        <f>-'C2Q'!B114</f>
        <v>0</v>
      </c>
      <c r="D115" s="366">
        <f>-'C2Q'!C114</f>
        <v>0</v>
      </c>
      <c r="E115" s="331">
        <f>-'C2Q'!D114</f>
        <v>0</v>
      </c>
      <c r="F115" s="331">
        <f>-'C2Q'!E114</f>
        <v>0</v>
      </c>
      <c r="G115" s="331">
        <f>-'C2Q'!F114</f>
        <v>0</v>
      </c>
      <c r="H115" s="331">
        <f>-'C2Q'!G114</f>
        <v>0</v>
      </c>
      <c r="I115" s="85">
        <f t="shared" si="13"/>
        <v>0</v>
      </c>
      <c r="J115" s="326" t="str">
        <f t="shared" si="16"/>
        <v/>
      </c>
      <c r="K115" s="332">
        <f>-'C2Q'!J114</f>
        <v>0</v>
      </c>
      <c r="L115" s="21"/>
    </row>
    <row r="116" spans="1:12" s="285" customFormat="1" x14ac:dyDescent="0.25">
      <c r="A116" s="330" t="s">
        <v>1103</v>
      </c>
      <c r="B116" s="197"/>
      <c r="C116" s="366">
        <f>-'C2Q'!B115</f>
        <v>222890114.58000001</v>
      </c>
      <c r="D116" s="366">
        <f>-'C2Q'!C115</f>
        <v>240789400</v>
      </c>
      <c r="E116" s="331">
        <f>-'C2Q'!D115</f>
        <v>237370400</v>
      </c>
      <c r="F116" s="331">
        <f>-'C2Q'!E115</f>
        <v>10684009.050000001</v>
      </c>
      <c r="G116" s="331">
        <f>-'C2Q'!F115</f>
        <v>212049993.00999999</v>
      </c>
      <c r="H116" s="331">
        <f>-'C2Q'!G115</f>
        <v>217675383.06999999</v>
      </c>
      <c r="I116" s="85">
        <f t="shared" si="13"/>
        <v>-5625390.0600000024</v>
      </c>
      <c r="J116" s="326">
        <f t="shared" si="16"/>
        <v>-2.5843023591652487E-2</v>
      </c>
      <c r="K116" s="332">
        <f>-'C2Q'!J115</f>
        <v>237370400</v>
      </c>
      <c r="L116" s="21"/>
    </row>
    <row r="117" spans="1:12" s="285" customFormat="1" x14ac:dyDescent="0.25">
      <c r="A117" s="330" t="s">
        <v>1104</v>
      </c>
      <c r="B117" s="197"/>
      <c r="C117" s="366">
        <f>-'C2Q'!B116</f>
        <v>1953707.57</v>
      </c>
      <c r="D117" s="366">
        <f>-'C2Q'!C116</f>
        <v>1177100</v>
      </c>
      <c r="E117" s="331">
        <f>-'C2Q'!D116</f>
        <v>1777200</v>
      </c>
      <c r="F117" s="331">
        <f>-'C2Q'!E116</f>
        <v>97241.67</v>
      </c>
      <c r="G117" s="331">
        <f>-'C2Q'!F116</f>
        <v>972416.7</v>
      </c>
      <c r="H117" s="331">
        <f>-'C2Q'!G116</f>
        <v>1572459.54</v>
      </c>
      <c r="I117" s="85">
        <f t="shared" si="13"/>
        <v>-600042.84000000008</v>
      </c>
      <c r="J117" s="326">
        <f t="shared" si="16"/>
        <v>-0.38159509019863241</v>
      </c>
      <c r="K117" s="332">
        <f>-'C2Q'!J116</f>
        <v>1777200</v>
      </c>
      <c r="L117" s="21"/>
    </row>
    <row r="118" spans="1:12" s="285" customFormat="1" x14ac:dyDescent="0.25">
      <c r="A118" s="311" t="s">
        <v>666</v>
      </c>
      <c r="B118" s="197"/>
      <c r="C118" s="210">
        <f>SUM(C119:C124)</f>
        <v>5679325.1799999997</v>
      </c>
      <c r="D118" s="207">
        <f t="shared" ref="D118:K118" si="24">SUM(D119:D124)</f>
        <v>9903200</v>
      </c>
      <c r="E118" s="200">
        <f t="shared" si="24"/>
        <v>5815300</v>
      </c>
      <c r="F118" s="200">
        <f t="shared" si="24"/>
        <v>791689.96</v>
      </c>
      <c r="G118" s="200">
        <f t="shared" si="24"/>
        <v>5304046.03</v>
      </c>
      <c r="H118" s="200">
        <f t="shared" si="24"/>
        <v>7136241.3099999996</v>
      </c>
      <c r="I118" s="85">
        <f t="shared" si="13"/>
        <v>-1832195.2799999993</v>
      </c>
      <c r="J118" s="326">
        <f t="shared" si="16"/>
        <v>-0.25674514081138877</v>
      </c>
      <c r="K118" s="211">
        <f t="shared" si="24"/>
        <v>5815300</v>
      </c>
      <c r="L118" s="21"/>
    </row>
    <row r="119" spans="1:12" s="285" customFormat="1" x14ac:dyDescent="0.25">
      <c r="A119" s="327" t="s">
        <v>401</v>
      </c>
      <c r="B119" s="197"/>
      <c r="C119" s="366">
        <f>-'C2Q'!B118</f>
        <v>0</v>
      </c>
      <c r="D119" s="366">
        <f>-'C2Q'!C118</f>
        <v>0</v>
      </c>
      <c r="E119" s="331">
        <f>-'C2Q'!D118</f>
        <v>0</v>
      </c>
      <c r="F119" s="331">
        <f>-'C2Q'!E118</f>
        <v>0</v>
      </c>
      <c r="G119" s="331">
        <f>-'C2Q'!F118</f>
        <v>0</v>
      </c>
      <c r="H119" s="331">
        <f>-'C2Q'!G118</f>
        <v>0</v>
      </c>
      <c r="I119" s="85">
        <f t="shared" si="13"/>
        <v>0</v>
      </c>
      <c r="J119" s="326" t="str">
        <f t="shared" si="16"/>
        <v/>
      </c>
      <c r="K119" s="332">
        <f>-'C2Q'!J118</f>
        <v>0</v>
      </c>
      <c r="L119" s="21"/>
    </row>
    <row r="120" spans="1:12" s="285" customFormat="1" x14ac:dyDescent="0.25">
      <c r="A120" s="327" t="s">
        <v>157</v>
      </c>
      <c r="B120" s="197"/>
      <c r="C120" s="366">
        <f>-'C2Q'!B119</f>
        <v>5473223.0899999999</v>
      </c>
      <c r="D120" s="366">
        <f>-'C2Q'!C119</f>
        <v>9616500</v>
      </c>
      <c r="E120" s="331">
        <f>-'C2Q'!D119</f>
        <v>5616500</v>
      </c>
      <c r="F120" s="331">
        <f>-'C2Q'!E119</f>
        <v>779383.08</v>
      </c>
      <c r="G120" s="331">
        <f>-'C2Q'!F119</f>
        <v>5062655.87</v>
      </c>
      <c r="H120" s="331">
        <f>-'C2Q'!G119</f>
        <v>6900667.3899999997</v>
      </c>
      <c r="I120" s="85">
        <f t="shared" si="13"/>
        <v>-1838011.5199999996</v>
      </c>
      <c r="J120" s="326">
        <f t="shared" si="16"/>
        <v>-0.26635271867522942</v>
      </c>
      <c r="K120" s="332">
        <f>-'C2Q'!J119</f>
        <v>5616500</v>
      </c>
      <c r="L120" s="21"/>
    </row>
    <row r="121" spans="1:12" s="285" customFormat="1" x14ac:dyDescent="0.25">
      <c r="A121" s="327" t="s">
        <v>1105</v>
      </c>
      <c r="B121" s="197"/>
      <c r="C121" s="366">
        <f>-'C2Q'!B120</f>
        <v>0</v>
      </c>
      <c r="D121" s="366">
        <f>-'C2Q'!C120</f>
        <v>0</v>
      </c>
      <c r="E121" s="331">
        <f>-'C2Q'!D120</f>
        <v>0</v>
      </c>
      <c r="F121" s="331">
        <f>-'C2Q'!E120</f>
        <v>0</v>
      </c>
      <c r="G121" s="331">
        <f>-'C2Q'!F120</f>
        <v>0</v>
      </c>
      <c r="H121" s="331">
        <f>-'C2Q'!G120</f>
        <v>0</v>
      </c>
      <c r="I121" s="85">
        <f t="shared" si="13"/>
        <v>0</v>
      </c>
      <c r="J121" s="326" t="str">
        <f t="shared" si="16"/>
        <v/>
      </c>
      <c r="K121" s="332">
        <f>-'C2Q'!J120</f>
        <v>0</v>
      </c>
      <c r="L121" s="21"/>
    </row>
    <row r="122" spans="1:12" s="285" customFormat="1" x14ac:dyDescent="0.25">
      <c r="A122" s="327" t="s">
        <v>1106</v>
      </c>
      <c r="B122" s="197"/>
      <c r="C122" s="366">
        <f>-'C2Q'!B121</f>
        <v>136957.85</v>
      </c>
      <c r="D122" s="366">
        <f>-'C2Q'!C121</f>
        <v>245800</v>
      </c>
      <c r="E122" s="331">
        <f>-'C2Q'!D121</f>
        <v>157800</v>
      </c>
      <c r="F122" s="331">
        <f>-'C2Q'!E121</f>
        <v>8898.5499999999993</v>
      </c>
      <c r="G122" s="331">
        <f>-'C2Q'!F121</f>
        <v>207280.59</v>
      </c>
      <c r="H122" s="331">
        <f>-'C2Q'!G121</f>
        <v>201470.15</v>
      </c>
      <c r="I122" s="85">
        <f t="shared" si="13"/>
        <v>5810.4400000000023</v>
      </c>
      <c r="J122" s="326">
        <f t="shared" si="16"/>
        <v>2.8840202878689485E-2</v>
      </c>
      <c r="K122" s="332">
        <f>-'C2Q'!J121</f>
        <v>157800</v>
      </c>
      <c r="L122" s="21"/>
    </row>
    <row r="123" spans="1:12" s="285" customFormat="1" x14ac:dyDescent="0.25">
      <c r="A123" s="327" t="s">
        <v>402</v>
      </c>
      <c r="B123" s="197"/>
      <c r="C123" s="366">
        <f>-'C2Q'!B122</f>
        <v>0</v>
      </c>
      <c r="D123" s="366">
        <f>-'C2Q'!C122</f>
        <v>0</v>
      </c>
      <c r="E123" s="331">
        <f>-'C2Q'!D122</f>
        <v>0</v>
      </c>
      <c r="F123" s="331">
        <f>-'C2Q'!E122</f>
        <v>0</v>
      </c>
      <c r="G123" s="331">
        <f>-'C2Q'!F122</f>
        <v>0</v>
      </c>
      <c r="H123" s="331">
        <f>-'C2Q'!G122</f>
        <v>0</v>
      </c>
      <c r="I123" s="85">
        <f t="shared" si="13"/>
        <v>0</v>
      </c>
      <c r="J123" s="326" t="str">
        <f t="shared" si="16"/>
        <v/>
      </c>
      <c r="K123" s="332">
        <f>-'C2Q'!J122</f>
        <v>0</v>
      </c>
      <c r="L123" s="21"/>
    </row>
    <row r="124" spans="1:12" s="285" customFormat="1" x14ac:dyDescent="0.25">
      <c r="A124" s="327" t="s">
        <v>158</v>
      </c>
      <c r="B124" s="197"/>
      <c r="C124" s="366">
        <f>-'C2Q'!B123</f>
        <v>69144.240000000005</v>
      </c>
      <c r="D124" s="366">
        <f>-'C2Q'!C123</f>
        <v>40900</v>
      </c>
      <c r="E124" s="331">
        <f>-'C2Q'!D123</f>
        <v>41000</v>
      </c>
      <c r="F124" s="331">
        <f>-'C2Q'!E123</f>
        <v>3408.33</v>
      </c>
      <c r="G124" s="331">
        <f>-'C2Q'!F123</f>
        <v>34109.57</v>
      </c>
      <c r="H124" s="331">
        <f>-'C2Q'!G123</f>
        <v>34103.769999999997</v>
      </c>
      <c r="I124" s="85">
        <f t="shared" si="13"/>
        <v>5.8000000000029104</v>
      </c>
      <c r="J124" s="326">
        <f t="shared" si="16"/>
        <v>1.7006917417056563E-4</v>
      </c>
      <c r="K124" s="332">
        <f>-'C2Q'!J123</f>
        <v>41000</v>
      </c>
      <c r="L124" s="21"/>
    </row>
    <row r="125" spans="1:12" s="285" customFormat="1" x14ac:dyDescent="0.25">
      <c r="A125" s="59" t="str">
        <f>"Total "&amp;A5</f>
        <v>Total Revenue - Functional</v>
      </c>
      <c r="B125" s="197">
        <v>2</v>
      </c>
      <c r="C125" s="210">
        <f t="shared" ref="C125:H125" si="25">C6+C26+C75+C99+C118</f>
        <v>5266009224.5300007</v>
      </c>
      <c r="D125" s="53">
        <f t="shared" si="25"/>
        <v>5818454800</v>
      </c>
      <c r="E125" s="200">
        <f t="shared" si="25"/>
        <v>5565047847</v>
      </c>
      <c r="F125" s="200">
        <f t="shared" si="25"/>
        <v>386113216.22999996</v>
      </c>
      <c r="G125" s="200">
        <f t="shared" si="25"/>
        <v>4617495441.3999996</v>
      </c>
      <c r="H125" s="200">
        <f t="shared" si="25"/>
        <v>4623794000.7799997</v>
      </c>
      <c r="I125" s="85">
        <f t="shared" si="13"/>
        <v>-6298559.3800001144</v>
      </c>
      <c r="J125" s="326">
        <f t="shared" si="16"/>
        <v>-1.3622058809145898E-3</v>
      </c>
      <c r="K125" s="211">
        <f>K6+K26+K75+K99+K118</f>
        <v>5565047847</v>
      </c>
      <c r="L125" s="21"/>
    </row>
    <row r="126" spans="1:12" s="285" customFormat="1" ht="6" customHeight="1" x14ac:dyDescent="0.25">
      <c r="A126" s="32"/>
      <c r="B126" s="197"/>
      <c r="C126" s="329"/>
      <c r="D126" s="36"/>
      <c r="E126" s="328"/>
      <c r="F126" s="328"/>
      <c r="G126" s="328"/>
      <c r="H126" s="328"/>
      <c r="I126" s="34"/>
      <c r="J126" s="730"/>
      <c r="K126" s="329"/>
      <c r="L126" s="21"/>
    </row>
    <row r="127" spans="1:12" s="285" customFormat="1" x14ac:dyDescent="0.25">
      <c r="A127" s="29" t="s">
        <v>1107</v>
      </c>
      <c r="B127" s="198"/>
      <c r="C127" s="68"/>
      <c r="D127" s="36"/>
      <c r="E127" s="34"/>
      <c r="F127" s="34"/>
      <c r="G127" s="34"/>
      <c r="H127" s="34"/>
      <c r="I127" s="34"/>
      <c r="J127" s="731"/>
      <c r="K127" s="78"/>
      <c r="L127" s="21"/>
    </row>
    <row r="128" spans="1:12" s="285" customFormat="1" x14ac:dyDescent="0.25">
      <c r="A128" s="311" t="str">
        <f t="shared" ref="A128:A191" si="26">A6</f>
        <v>Municipal governance and administration</v>
      </c>
      <c r="B128" s="198"/>
      <c r="C128" s="591">
        <f t="shared" ref="C128:H128" si="27">C129+C132+C146</f>
        <v>282634299.5</v>
      </c>
      <c r="D128" s="53">
        <f t="shared" si="27"/>
        <v>223892900</v>
      </c>
      <c r="E128" s="52">
        <f t="shared" si="27"/>
        <v>333218004.00999999</v>
      </c>
      <c r="F128" s="52">
        <f t="shared" si="27"/>
        <v>17688887.359999999</v>
      </c>
      <c r="G128" s="52">
        <f t="shared" si="27"/>
        <v>227808870.59</v>
      </c>
      <c r="H128" s="52">
        <f t="shared" si="27"/>
        <v>234735471.18000001</v>
      </c>
      <c r="I128" s="328">
        <f t="shared" ref="I128:I187" si="28">G128-H128</f>
        <v>-6926600.5900000036</v>
      </c>
      <c r="J128" s="326">
        <f t="shared" si="16"/>
        <v>-2.9508112068365427E-2</v>
      </c>
      <c r="K128" s="79">
        <f>K129+K132+K146</f>
        <v>333218004.00999999</v>
      </c>
      <c r="L128" s="21"/>
    </row>
    <row r="129" spans="1:12" s="285" customFormat="1" x14ac:dyDescent="0.25">
      <c r="A129" s="327" t="str">
        <f t="shared" si="26"/>
        <v>Executive and council</v>
      </c>
      <c r="B129" s="198"/>
      <c r="C129" s="727">
        <f t="shared" ref="C129:K129" si="29">SUM(C130:C131)</f>
        <v>29662665.909999996</v>
      </c>
      <c r="D129" s="597">
        <f t="shared" si="29"/>
        <v>49014500</v>
      </c>
      <c r="E129" s="328">
        <f t="shared" si="29"/>
        <v>59087425.399999999</v>
      </c>
      <c r="F129" s="328">
        <f t="shared" si="29"/>
        <v>659714.38000000035</v>
      </c>
      <c r="G129" s="328">
        <f t="shared" si="29"/>
        <v>29901701.77</v>
      </c>
      <c r="H129" s="328">
        <f t="shared" si="29"/>
        <v>42724434.020000003</v>
      </c>
      <c r="I129" s="328">
        <f t="shared" si="28"/>
        <v>-12822732.250000004</v>
      </c>
      <c r="J129" s="326">
        <f t="shared" si="16"/>
        <v>-0.30012643921736853</v>
      </c>
      <c r="K129" s="329">
        <f t="shared" si="29"/>
        <v>59087425.399999999</v>
      </c>
      <c r="L129" s="21"/>
    </row>
    <row r="130" spans="1:12" s="285" customFormat="1" x14ac:dyDescent="0.25">
      <c r="A130" s="330" t="str">
        <f t="shared" si="26"/>
        <v>Mayor and Council</v>
      </c>
      <c r="B130" s="198"/>
      <c r="C130" s="366">
        <f>'C2Q'!N7</f>
        <v>-8448665.3800000008</v>
      </c>
      <c r="D130" s="366">
        <f>'C2Q'!O7</f>
        <v>1530100</v>
      </c>
      <c r="E130" s="331">
        <f>'C2Q'!P7</f>
        <v>14229150.43</v>
      </c>
      <c r="F130" s="331">
        <f>'C2Q'!Q7</f>
        <v>-2762426.8</v>
      </c>
      <c r="G130" s="331">
        <f>'C2Q'!R7</f>
        <v>-3670746.98</v>
      </c>
      <c r="H130" s="331">
        <f>'C2Q'!S7</f>
        <v>7373250</v>
      </c>
      <c r="I130" s="85">
        <f t="shared" si="28"/>
        <v>-11043996.98</v>
      </c>
      <c r="J130" s="326">
        <f t="shared" si="16"/>
        <v>-1.4978465371444072</v>
      </c>
      <c r="K130" s="332">
        <f>'C2Q'!V7</f>
        <v>14229150.43</v>
      </c>
      <c r="L130" s="21"/>
    </row>
    <row r="131" spans="1:12" s="285" customFormat="1" ht="18.600000000000001" customHeight="1" x14ac:dyDescent="0.25">
      <c r="A131" s="330" t="str">
        <f t="shared" si="26"/>
        <v>Municipal Manager, Town Secretary and Chief Executive</v>
      </c>
      <c r="B131" s="198"/>
      <c r="C131" s="366">
        <f>'C2Q'!N8</f>
        <v>38111331.289999999</v>
      </c>
      <c r="D131" s="366">
        <f>'C2Q'!O8</f>
        <v>47484400</v>
      </c>
      <c r="E131" s="331">
        <f>'C2Q'!P8</f>
        <v>44858274.969999999</v>
      </c>
      <c r="F131" s="331">
        <f>'C2Q'!Q8</f>
        <v>3422141.18</v>
      </c>
      <c r="G131" s="331">
        <f>'C2Q'!R8</f>
        <v>33572448.75</v>
      </c>
      <c r="H131" s="331">
        <f>'C2Q'!S8</f>
        <v>35351184.020000003</v>
      </c>
      <c r="I131" s="34">
        <f t="shared" si="28"/>
        <v>-1778735.2700000033</v>
      </c>
      <c r="J131" s="326">
        <f t="shared" si="16"/>
        <v>-5.0316144121047832E-2</v>
      </c>
      <c r="K131" s="332">
        <f>'C2Q'!V8</f>
        <v>44858274.969999999</v>
      </c>
      <c r="L131" s="21"/>
    </row>
    <row r="132" spans="1:12" s="285" customFormat="1" x14ac:dyDescent="0.25">
      <c r="A132" s="327" t="str">
        <f t="shared" si="26"/>
        <v>Finance and administration</v>
      </c>
      <c r="B132" s="198"/>
      <c r="C132" s="727">
        <f t="shared" ref="C132:H132" si="30">SUM(C133:C145)</f>
        <v>252620017.33000001</v>
      </c>
      <c r="D132" s="597">
        <f t="shared" si="30"/>
        <v>174702500</v>
      </c>
      <c r="E132" s="328">
        <f t="shared" si="30"/>
        <v>273939078.61000001</v>
      </c>
      <c r="F132" s="328">
        <f t="shared" si="30"/>
        <v>15568871.219999999</v>
      </c>
      <c r="G132" s="328">
        <f t="shared" si="30"/>
        <v>198877423.94999999</v>
      </c>
      <c r="H132" s="328">
        <f t="shared" si="30"/>
        <v>195975975.84999999</v>
      </c>
      <c r="I132" s="328">
        <f t="shared" si="28"/>
        <v>2901448.099999994</v>
      </c>
      <c r="J132" s="326">
        <f t="shared" si="16"/>
        <v>1.4805121328854932E-2</v>
      </c>
      <c r="K132" s="329">
        <f>SUM(K133:K145)</f>
        <v>273939078.61000001</v>
      </c>
      <c r="L132" s="21"/>
    </row>
    <row r="133" spans="1:12" s="285" customFormat="1" x14ac:dyDescent="0.25">
      <c r="A133" s="330" t="str">
        <f t="shared" si="26"/>
        <v>Administrative and Corporate Support</v>
      </c>
      <c r="B133" s="197"/>
      <c r="C133" s="366">
        <f>'C2Q'!N10</f>
        <v>2952262.72</v>
      </c>
      <c r="D133" s="366">
        <f>'C2Q'!O10</f>
        <v>1397200</v>
      </c>
      <c r="E133" s="331">
        <f>'C2Q'!P10</f>
        <v>1356912.04</v>
      </c>
      <c r="F133" s="331">
        <f>'C2Q'!Q10</f>
        <v>92105.18</v>
      </c>
      <c r="G133" s="331">
        <f>'C2Q'!R10</f>
        <v>1231086.0900000001</v>
      </c>
      <c r="H133" s="331">
        <f>'C2Q'!S10</f>
        <v>1033715.16</v>
      </c>
      <c r="I133" s="328">
        <f t="shared" si="28"/>
        <v>197370.93000000005</v>
      </c>
      <c r="J133" s="326">
        <f t="shared" si="16"/>
        <v>0.19093357400311325</v>
      </c>
      <c r="K133" s="332">
        <f>'C2Q'!V10</f>
        <v>1356912.04</v>
      </c>
      <c r="L133" s="21"/>
    </row>
    <row r="134" spans="1:12" s="285" customFormat="1" x14ac:dyDescent="0.25">
      <c r="A134" s="330" t="str">
        <f t="shared" si="26"/>
        <v>Asset Management</v>
      </c>
      <c r="B134" s="197"/>
      <c r="C134" s="366">
        <f>'C2Q'!N11</f>
        <v>2404387.8399999999</v>
      </c>
      <c r="D134" s="366">
        <f>'C2Q'!O11</f>
        <v>3181200</v>
      </c>
      <c r="E134" s="331">
        <f>'C2Q'!P11</f>
        <v>2079700</v>
      </c>
      <c r="F134" s="331">
        <f>'C2Q'!Q11</f>
        <v>168753.82</v>
      </c>
      <c r="G134" s="331">
        <f>'C2Q'!R11</f>
        <v>1772942.95</v>
      </c>
      <c r="H134" s="331">
        <f>'C2Q'!S11</f>
        <v>1750519.62</v>
      </c>
      <c r="I134" s="328">
        <f t="shared" si="28"/>
        <v>22423.329999999842</v>
      </c>
      <c r="J134" s="326">
        <f t="shared" si="16"/>
        <v>1.2809527950335022E-2</v>
      </c>
      <c r="K134" s="332">
        <f>'C2Q'!V11</f>
        <v>2079700</v>
      </c>
      <c r="L134" s="21"/>
    </row>
    <row r="135" spans="1:12" s="285" customFormat="1" x14ac:dyDescent="0.25">
      <c r="A135" s="330" t="str">
        <f t="shared" si="26"/>
        <v>Finance</v>
      </c>
      <c r="B135" s="197"/>
      <c r="C135" s="366">
        <f>'C2Q'!N12</f>
        <v>-106074192.38</v>
      </c>
      <c r="D135" s="366">
        <f>'C2Q'!O12</f>
        <v>20856400</v>
      </c>
      <c r="E135" s="331">
        <f>'C2Q'!P12</f>
        <v>-18948322.530000001</v>
      </c>
      <c r="F135" s="331">
        <f>'C2Q'!Q12</f>
        <v>4382627.43</v>
      </c>
      <c r="G135" s="331">
        <f>'C2Q'!R12</f>
        <v>-55037818.619999997</v>
      </c>
      <c r="H135" s="331">
        <f>'C2Q'!S12</f>
        <v>-55119326.43</v>
      </c>
      <c r="I135" s="328">
        <f t="shared" si="28"/>
        <v>81507.810000002384</v>
      </c>
      <c r="J135" s="326">
        <f t="shared" si="16"/>
        <v>-1.4787519238558733E-3</v>
      </c>
      <c r="K135" s="332">
        <f>'C2Q'!V12</f>
        <v>-18948322.530000001</v>
      </c>
      <c r="L135" s="21"/>
    </row>
    <row r="136" spans="1:12" s="285" customFormat="1" x14ac:dyDescent="0.25">
      <c r="A136" s="330" t="str">
        <f t="shared" si="26"/>
        <v>Fleet Management</v>
      </c>
      <c r="B136" s="197"/>
      <c r="C136" s="366">
        <f>'C2Q'!N13</f>
        <v>103710281.64</v>
      </c>
      <c r="D136" s="366">
        <f>'C2Q'!O13</f>
        <v>28054000</v>
      </c>
      <c r="E136" s="331">
        <f>'C2Q'!P13</f>
        <v>33703367.289999999</v>
      </c>
      <c r="F136" s="331">
        <f>'C2Q'!Q13</f>
        <v>8314989.1399999997</v>
      </c>
      <c r="G136" s="331">
        <f>'C2Q'!R13</f>
        <v>87738027.109999999</v>
      </c>
      <c r="H136" s="331">
        <f>'C2Q'!S13</f>
        <v>57510536.219999999</v>
      </c>
      <c r="I136" s="328">
        <f t="shared" si="28"/>
        <v>30227490.890000001</v>
      </c>
      <c r="J136" s="326">
        <f t="shared" si="16"/>
        <v>0.52559918367598213</v>
      </c>
      <c r="K136" s="332">
        <f>'C2Q'!V13</f>
        <v>33703367.289999999</v>
      </c>
      <c r="L136" s="21"/>
    </row>
    <row r="137" spans="1:12" s="285" customFormat="1" x14ac:dyDescent="0.25">
      <c r="A137" s="330" t="str">
        <f t="shared" si="26"/>
        <v>Human Resources</v>
      </c>
      <c r="B137" s="197"/>
      <c r="C137" s="366">
        <f>'C2Q'!N14</f>
        <v>5702685.8499999996</v>
      </c>
      <c r="D137" s="366">
        <f>'C2Q'!O14</f>
        <v>12176800</v>
      </c>
      <c r="E137" s="331">
        <f>'C2Q'!P14</f>
        <v>10017209.060000001</v>
      </c>
      <c r="F137" s="331">
        <f>'C2Q'!Q14</f>
        <v>521747.7</v>
      </c>
      <c r="G137" s="331">
        <f>'C2Q'!R14</f>
        <v>4354685.29</v>
      </c>
      <c r="H137" s="331">
        <f>'C2Q'!S14</f>
        <v>5691365.3899999997</v>
      </c>
      <c r="I137" s="328">
        <f t="shared" si="28"/>
        <v>-1336680.0999999996</v>
      </c>
      <c r="J137" s="326">
        <f t="shared" si="16"/>
        <v>-0.23486105853414549</v>
      </c>
      <c r="K137" s="332">
        <f>'C2Q'!V14</f>
        <v>10017209.060000001</v>
      </c>
      <c r="L137" s="21"/>
    </row>
    <row r="138" spans="1:12" s="285" customFormat="1" x14ac:dyDescent="0.25">
      <c r="A138" s="330" t="str">
        <f t="shared" si="26"/>
        <v>Information Technology</v>
      </c>
      <c r="B138" s="197"/>
      <c r="C138" s="366">
        <f>'C2Q'!N15</f>
        <v>167713056.75</v>
      </c>
      <c r="D138" s="366">
        <f>'C2Q'!O15</f>
        <v>53996500</v>
      </c>
      <c r="E138" s="331">
        <f>'C2Q'!P15</f>
        <v>179867034.83000001</v>
      </c>
      <c r="F138" s="331">
        <f>'C2Q'!Q15</f>
        <v>-1503286.33</v>
      </c>
      <c r="G138" s="331">
        <f>'C2Q'!R15</f>
        <v>120925842.40000001</v>
      </c>
      <c r="H138" s="331">
        <f>'C2Q'!S15</f>
        <v>134660898.18000001</v>
      </c>
      <c r="I138" s="328">
        <f t="shared" si="28"/>
        <v>-13735055.780000001</v>
      </c>
      <c r="J138" s="326">
        <f t="shared" si="16"/>
        <v>-0.10199735755245354</v>
      </c>
      <c r="K138" s="332">
        <f>'C2Q'!V15</f>
        <v>179867034.83000001</v>
      </c>
      <c r="L138" s="21"/>
    </row>
    <row r="139" spans="1:12" s="285" customFormat="1" x14ac:dyDescent="0.25">
      <c r="A139" s="330" t="str">
        <f t="shared" si="26"/>
        <v>Legal Services</v>
      </c>
      <c r="B139" s="197"/>
      <c r="C139" s="366">
        <f>'C2Q'!N16</f>
        <v>12856189.609999999</v>
      </c>
      <c r="D139" s="366">
        <f>'C2Q'!O16</f>
        <v>0</v>
      </c>
      <c r="E139" s="331">
        <f>'C2Q'!P16</f>
        <v>-1581899.99</v>
      </c>
      <c r="F139" s="331">
        <f>'C2Q'!Q16</f>
        <v>-415645.22</v>
      </c>
      <c r="G139" s="331">
        <f>'C2Q'!R16</f>
        <v>-2384217.7400000002</v>
      </c>
      <c r="H139" s="331">
        <f>'C2Q'!S16</f>
        <v>-1894975.19</v>
      </c>
      <c r="I139" s="85">
        <f t="shared" si="28"/>
        <v>-489242.55000000028</v>
      </c>
      <c r="J139" s="326">
        <f t="shared" si="16"/>
        <v>0.25817886829431275</v>
      </c>
      <c r="K139" s="332">
        <f>'C2Q'!V16</f>
        <v>-1581899.99</v>
      </c>
      <c r="L139" s="21"/>
    </row>
    <row r="140" spans="1:12" s="285" customFormat="1" ht="22.5" x14ac:dyDescent="0.25">
      <c r="A140" s="330" t="str">
        <f t="shared" si="26"/>
        <v>Marketing, Customer Relations, Publicity and Media Co-ordination</v>
      </c>
      <c r="B140" s="197"/>
      <c r="C140" s="366">
        <f>'C2Q'!N17</f>
        <v>9178712.4800000004</v>
      </c>
      <c r="D140" s="366">
        <f>'C2Q'!O17</f>
        <v>9689700</v>
      </c>
      <c r="E140" s="331">
        <f>'C2Q'!P17</f>
        <v>9098772.8399999999</v>
      </c>
      <c r="F140" s="331">
        <f>'C2Q'!Q17</f>
        <v>441014.92</v>
      </c>
      <c r="G140" s="331">
        <f>'C2Q'!R17</f>
        <v>5831580.8899999997</v>
      </c>
      <c r="H140" s="331">
        <f>'C2Q'!S17</f>
        <v>6972807.0599999996</v>
      </c>
      <c r="I140" s="85">
        <f t="shared" si="28"/>
        <v>-1141226.17</v>
      </c>
      <c r="J140" s="326">
        <f t="shared" si="16"/>
        <v>-0.16366811245168741</v>
      </c>
      <c r="K140" s="332">
        <f>'C2Q'!V17</f>
        <v>9098772.8399999999</v>
      </c>
      <c r="L140" s="21"/>
    </row>
    <row r="141" spans="1:12" s="285" customFormat="1" x14ac:dyDescent="0.25">
      <c r="A141" s="330" t="str">
        <f t="shared" si="26"/>
        <v>Property Services</v>
      </c>
      <c r="B141" s="197"/>
      <c r="C141" s="366">
        <f>'C2Q'!N18</f>
        <v>2849313.42</v>
      </c>
      <c r="D141" s="366">
        <f>'C2Q'!O18</f>
        <v>747300</v>
      </c>
      <c r="E141" s="331">
        <f>'C2Q'!P18</f>
        <v>709300.3</v>
      </c>
      <c r="F141" s="331">
        <f>'C2Q'!Q18</f>
        <v>53582.400000000001</v>
      </c>
      <c r="G141" s="331">
        <f>'C2Q'!R18</f>
        <v>533589.4</v>
      </c>
      <c r="H141" s="331">
        <f>'C2Q'!S18</f>
        <v>581731.31999999995</v>
      </c>
      <c r="I141" s="85">
        <f t="shared" si="28"/>
        <v>-48141.919999999925</v>
      </c>
      <c r="J141" s="326">
        <f t="shared" si="16"/>
        <v>-8.2756279995376436E-2</v>
      </c>
      <c r="K141" s="332">
        <f>'C2Q'!V18</f>
        <v>709300.3</v>
      </c>
      <c r="L141" s="21"/>
    </row>
    <row r="142" spans="1:12" s="285" customFormat="1" x14ac:dyDescent="0.25">
      <c r="A142" s="330" t="str">
        <f t="shared" si="26"/>
        <v>Risk Management</v>
      </c>
      <c r="B142" s="197"/>
      <c r="C142" s="366">
        <f>'C2Q'!N19</f>
        <v>4608453.26</v>
      </c>
      <c r="D142" s="366">
        <f>'C2Q'!O19</f>
        <v>6210400</v>
      </c>
      <c r="E142" s="331">
        <f>'C2Q'!P19</f>
        <v>5994702.1900000004</v>
      </c>
      <c r="F142" s="331">
        <f>'C2Q'!Q19</f>
        <v>293672.25</v>
      </c>
      <c r="G142" s="331">
        <f>'C2Q'!R19</f>
        <v>2989788.08</v>
      </c>
      <c r="H142" s="331">
        <f>'C2Q'!S19</f>
        <v>3712548.89</v>
      </c>
      <c r="I142" s="85">
        <f t="shared" si="28"/>
        <v>-722760.81</v>
      </c>
      <c r="J142" s="326">
        <f t="shared" si="16"/>
        <v>-0.19468048271278121</v>
      </c>
      <c r="K142" s="332">
        <f>'C2Q'!V19</f>
        <v>5994702.1900000004</v>
      </c>
      <c r="L142" s="21"/>
    </row>
    <row r="143" spans="1:12" s="285" customFormat="1" x14ac:dyDescent="0.25">
      <c r="A143" s="330" t="str">
        <f t="shared" si="26"/>
        <v>Security Services</v>
      </c>
      <c r="B143" s="197"/>
      <c r="C143" s="366">
        <f>'C2Q'!N20</f>
        <v>38461200.210000001</v>
      </c>
      <c r="D143" s="366">
        <f>'C2Q'!O20</f>
        <v>37445300</v>
      </c>
      <c r="E143" s="331">
        <f>'C2Q'!P20</f>
        <v>46012294.75</v>
      </c>
      <c r="F143" s="331">
        <f>'C2Q'!Q20</f>
        <v>2614565.98</v>
      </c>
      <c r="G143" s="331">
        <f>'C2Q'!R20</f>
        <v>31382744.379999999</v>
      </c>
      <c r="H143" s="331">
        <f>'C2Q'!S20</f>
        <v>41903366.530000001</v>
      </c>
      <c r="I143" s="85">
        <f t="shared" si="28"/>
        <v>-10520622.150000002</v>
      </c>
      <c r="J143" s="326">
        <f t="shared" si="16"/>
        <v>-0.25106866157085356</v>
      </c>
      <c r="K143" s="332">
        <f>'C2Q'!V20</f>
        <v>46012294.75</v>
      </c>
      <c r="L143" s="21"/>
    </row>
    <row r="144" spans="1:12" s="285" customFormat="1" x14ac:dyDescent="0.25">
      <c r="A144" s="330" t="str">
        <f t="shared" si="26"/>
        <v xml:space="preserve">Supply Chain Management </v>
      </c>
      <c r="B144" s="197"/>
      <c r="C144" s="366">
        <f>'C2Q'!N21</f>
        <v>4081321.59</v>
      </c>
      <c r="D144" s="366">
        <f>'C2Q'!O21</f>
        <v>-3321900</v>
      </c>
      <c r="E144" s="331">
        <f>'C2Q'!P21</f>
        <v>-5399492.1699999999</v>
      </c>
      <c r="F144" s="331">
        <f>'C2Q'!Q21</f>
        <v>-749373.16</v>
      </c>
      <c r="G144" s="331">
        <f>'C2Q'!R21</f>
        <v>-5984573.3300000001</v>
      </c>
      <c r="H144" s="331">
        <f>'C2Q'!S21</f>
        <v>-5461391.96</v>
      </c>
      <c r="I144" s="85">
        <f t="shared" si="28"/>
        <v>-523181.37000000011</v>
      </c>
      <c r="J144" s="326">
        <f t="shared" si="16"/>
        <v>9.5796341634486915E-2</v>
      </c>
      <c r="K144" s="332">
        <f>'C2Q'!V21</f>
        <v>-5399492.1699999999</v>
      </c>
      <c r="L144" s="21"/>
    </row>
    <row r="145" spans="1:12" s="285" customFormat="1" x14ac:dyDescent="0.25">
      <c r="A145" s="330" t="str">
        <f t="shared" si="26"/>
        <v>Valuation Service</v>
      </c>
      <c r="B145" s="197"/>
      <c r="C145" s="366">
        <f>'C2Q'!N22</f>
        <v>4176344.34</v>
      </c>
      <c r="D145" s="366">
        <f>'C2Q'!O22</f>
        <v>4269600</v>
      </c>
      <c r="E145" s="331">
        <f>'C2Q'!P22</f>
        <v>11029500</v>
      </c>
      <c r="F145" s="331">
        <f>'C2Q'!Q22</f>
        <v>1354117.11</v>
      </c>
      <c r="G145" s="331">
        <f>'C2Q'!R22</f>
        <v>5523747.0499999998</v>
      </c>
      <c r="H145" s="331">
        <f>'C2Q'!S22</f>
        <v>4634181.0599999996</v>
      </c>
      <c r="I145" s="85">
        <f t="shared" si="28"/>
        <v>889565.99000000022</v>
      </c>
      <c r="J145" s="326">
        <f t="shared" si="16"/>
        <v>0.19195753866380014</v>
      </c>
      <c r="K145" s="332">
        <f>'C2Q'!V22</f>
        <v>11029500</v>
      </c>
      <c r="L145" s="21"/>
    </row>
    <row r="146" spans="1:12" s="285" customFormat="1" x14ac:dyDescent="0.25">
      <c r="A146" s="327" t="str">
        <f t="shared" si="26"/>
        <v>Internal audit</v>
      </c>
      <c r="B146" s="198"/>
      <c r="C146" s="727">
        <f t="shared" ref="C146:H146" si="31">SUM(C147:C147)</f>
        <v>351616.26</v>
      </c>
      <c r="D146" s="597">
        <f t="shared" si="31"/>
        <v>175900</v>
      </c>
      <c r="E146" s="328">
        <f t="shared" si="31"/>
        <v>191500</v>
      </c>
      <c r="F146" s="328">
        <f t="shared" si="31"/>
        <v>1460301.76</v>
      </c>
      <c r="G146" s="328">
        <f t="shared" si="31"/>
        <v>-970255.13</v>
      </c>
      <c r="H146" s="328">
        <f t="shared" si="31"/>
        <v>-3964938.69</v>
      </c>
      <c r="I146" s="85">
        <f t="shared" si="28"/>
        <v>2994683.56</v>
      </c>
      <c r="J146" s="326">
        <f t="shared" si="16"/>
        <v>-0.75529126529822843</v>
      </c>
      <c r="K146" s="329">
        <f>SUM(K147:K147)</f>
        <v>191500</v>
      </c>
      <c r="L146" s="21"/>
    </row>
    <row r="147" spans="1:12" s="285" customFormat="1" x14ac:dyDescent="0.25">
      <c r="A147" s="330" t="str">
        <f t="shared" si="26"/>
        <v>Governance Function</v>
      </c>
      <c r="B147" s="198"/>
      <c r="C147" s="366">
        <f>'C2Q'!N24</f>
        <v>351616.26</v>
      </c>
      <c r="D147" s="366">
        <f>'C2Q'!O24</f>
        <v>175900</v>
      </c>
      <c r="E147" s="331">
        <f>'C2Q'!P24</f>
        <v>191500</v>
      </c>
      <c r="F147" s="331">
        <f>'C2Q'!Q24</f>
        <v>1460301.76</v>
      </c>
      <c r="G147" s="331">
        <f>'C2Q'!R24</f>
        <v>-970255.13</v>
      </c>
      <c r="H147" s="331">
        <f>'C2Q'!S24</f>
        <v>-3964938.69</v>
      </c>
      <c r="I147" s="85">
        <f t="shared" si="28"/>
        <v>2994683.56</v>
      </c>
      <c r="J147" s="326">
        <f t="shared" si="16"/>
        <v>-0.75529126529822843</v>
      </c>
      <c r="K147" s="332">
        <f>'C2Q'!V24</f>
        <v>191500</v>
      </c>
      <c r="L147" s="21"/>
    </row>
    <row r="148" spans="1:12" s="285" customFormat="1" x14ac:dyDescent="0.25">
      <c r="A148" s="311" t="str">
        <f t="shared" si="26"/>
        <v>Community and public safety</v>
      </c>
      <c r="B148" s="198"/>
      <c r="C148" s="591">
        <f t="shared" ref="C148:H148" si="32">C149+C171+C177+C186+C189</f>
        <v>724804056.40999997</v>
      </c>
      <c r="D148" s="53">
        <f t="shared" si="32"/>
        <v>699750500</v>
      </c>
      <c r="E148" s="52">
        <f t="shared" si="32"/>
        <v>705081742.66999996</v>
      </c>
      <c r="F148" s="52">
        <f t="shared" si="32"/>
        <v>48580750.390000008</v>
      </c>
      <c r="G148" s="52">
        <f t="shared" si="32"/>
        <v>494039305.74999994</v>
      </c>
      <c r="H148" s="52">
        <f t="shared" si="32"/>
        <v>520835511.94999993</v>
      </c>
      <c r="I148" s="85">
        <f t="shared" si="28"/>
        <v>-26796206.199999988</v>
      </c>
      <c r="J148" s="326">
        <f t="shared" si="16"/>
        <v>-5.1448500697802678E-2</v>
      </c>
      <c r="K148" s="79">
        <f>K149+K171+K177+K186+K189</f>
        <v>705081742.66999996</v>
      </c>
      <c r="L148" s="21"/>
    </row>
    <row r="149" spans="1:12" s="285" customFormat="1" x14ac:dyDescent="0.25">
      <c r="A149" s="327" t="str">
        <f t="shared" si="26"/>
        <v>Community and social services</v>
      </c>
      <c r="B149" s="198"/>
      <c r="C149" s="210">
        <f t="shared" ref="C149:H149" si="33">SUM(C150:C170)</f>
        <v>145439499.39000002</v>
      </c>
      <c r="D149" s="207">
        <f t="shared" si="33"/>
        <v>150173900</v>
      </c>
      <c r="E149" s="200">
        <f t="shared" si="33"/>
        <v>149164404.89000002</v>
      </c>
      <c r="F149" s="200">
        <f t="shared" si="33"/>
        <v>13971116.6</v>
      </c>
      <c r="G149" s="200">
        <f t="shared" si="33"/>
        <v>121083989.14999999</v>
      </c>
      <c r="H149" s="200">
        <f t="shared" si="33"/>
        <v>118725373.79999998</v>
      </c>
      <c r="I149" s="85">
        <f t="shared" si="28"/>
        <v>2358615.3500000089</v>
      </c>
      <c r="J149" s="326">
        <f t="shared" ref="J149:J212" si="34">IF(H149=0,"",I149/H149)</f>
        <v>1.986614381162731E-2</v>
      </c>
      <c r="K149" s="211">
        <f>SUM(K150:K170)</f>
        <v>149164404.89000002</v>
      </c>
      <c r="L149" s="21"/>
    </row>
    <row r="150" spans="1:12" s="285" customFormat="1" x14ac:dyDescent="0.25">
      <c r="A150" s="330" t="str">
        <f t="shared" si="26"/>
        <v>Aged Care</v>
      </c>
      <c r="B150" s="198"/>
      <c r="C150" s="366">
        <f>'C2Q'!N27</f>
        <v>0</v>
      </c>
      <c r="D150" s="366">
        <f>'C2Q'!O27</f>
        <v>0</v>
      </c>
      <c r="E150" s="331">
        <f>'C2Q'!P27</f>
        <v>0</v>
      </c>
      <c r="F150" s="331">
        <f>'C2Q'!Q27</f>
        <v>0</v>
      </c>
      <c r="G150" s="331">
        <f>'C2Q'!R27</f>
        <v>0</v>
      </c>
      <c r="H150" s="331">
        <f>'C2Q'!S27</f>
        <v>0</v>
      </c>
      <c r="I150" s="85">
        <f t="shared" si="28"/>
        <v>0</v>
      </c>
      <c r="J150" s="326" t="str">
        <f t="shared" si="34"/>
        <v/>
      </c>
      <c r="K150" s="332">
        <f>'C2Q'!V27</f>
        <v>0</v>
      </c>
      <c r="L150" s="21"/>
    </row>
    <row r="151" spans="1:12" s="285" customFormat="1" x14ac:dyDescent="0.25">
      <c r="A151" s="330" t="str">
        <f t="shared" si="26"/>
        <v>Agricultural</v>
      </c>
      <c r="B151" s="198"/>
      <c r="C151" s="366">
        <f>'C2Q'!N28</f>
        <v>0</v>
      </c>
      <c r="D151" s="366">
        <f>'C2Q'!O28</f>
        <v>0</v>
      </c>
      <c r="E151" s="331">
        <f>'C2Q'!P28</f>
        <v>0</v>
      </c>
      <c r="F151" s="331">
        <f>'C2Q'!Q28</f>
        <v>0</v>
      </c>
      <c r="G151" s="331">
        <f>'C2Q'!R28</f>
        <v>0</v>
      </c>
      <c r="H151" s="331">
        <f>'C2Q'!S28</f>
        <v>0</v>
      </c>
      <c r="I151" s="85">
        <f t="shared" si="28"/>
        <v>0</v>
      </c>
      <c r="J151" s="326" t="str">
        <f t="shared" si="34"/>
        <v/>
      </c>
      <c r="K151" s="332">
        <f>'C2Q'!V28</f>
        <v>0</v>
      </c>
      <c r="L151" s="21"/>
    </row>
    <row r="152" spans="1:12" s="285" customFormat="1" x14ac:dyDescent="0.25">
      <c r="A152" s="330" t="str">
        <f t="shared" si="26"/>
        <v>Animal Care and Diseases</v>
      </c>
      <c r="B152" s="198"/>
      <c r="C152" s="366">
        <f>'C2Q'!N29</f>
        <v>0</v>
      </c>
      <c r="D152" s="366">
        <f>'C2Q'!O29</f>
        <v>0</v>
      </c>
      <c r="E152" s="331">
        <f>'C2Q'!P29</f>
        <v>0</v>
      </c>
      <c r="F152" s="331">
        <f>'C2Q'!Q29</f>
        <v>0</v>
      </c>
      <c r="G152" s="331">
        <f>'C2Q'!R29</f>
        <v>0</v>
      </c>
      <c r="H152" s="331">
        <f>'C2Q'!S29</f>
        <v>0</v>
      </c>
      <c r="I152" s="85">
        <f t="shared" si="28"/>
        <v>0</v>
      </c>
      <c r="J152" s="326" t="str">
        <f t="shared" si="34"/>
        <v/>
      </c>
      <c r="K152" s="332">
        <f>'C2Q'!V29</f>
        <v>0</v>
      </c>
      <c r="L152" s="21"/>
    </row>
    <row r="153" spans="1:12" s="285" customFormat="1" x14ac:dyDescent="0.25">
      <c r="A153" s="330" t="str">
        <f t="shared" si="26"/>
        <v>Cemeteries, Funeral Parlours and Crematoriums</v>
      </c>
      <c r="B153" s="198"/>
      <c r="C153" s="366">
        <f>'C2Q'!N30</f>
        <v>14941419.48</v>
      </c>
      <c r="D153" s="366">
        <f>'C2Q'!O30</f>
        <v>16126700</v>
      </c>
      <c r="E153" s="331">
        <f>'C2Q'!P30</f>
        <v>16901043.359999999</v>
      </c>
      <c r="F153" s="331">
        <f>'C2Q'!Q30</f>
        <v>1420681.96</v>
      </c>
      <c r="G153" s="331">
        <f>'C2Q'!R30</f>
        <v>12998328.039999999</v>
      </c>
      <c r="H153" s="331">
        <f>'C2Q'!S30</f>
        <v>13370873.5</v>
      </c>
      <c r="I153" s="85">
        <f t="shared" si="28"/>
        <v>-372545.46000000089</v>
      </c>
      <c r="J153" s="326">
        <f t="shared" si="34"/>
        <v>-2.7862462388863442E-2</v>
      </c>
      <c r="K153" s="332">
        <f>'C2Q'!V30</f>
        <v>16901043.359999999</v>
      </c>
      <c r="L153" s="21"/>
    </row>
    <row r="154" spans="1:12" s="285" customFormat="1" x14ac:dyDescent="0.25">
      <c r="A154" s="330" t="str">
        <f t="shared" si="26"/>
        <v>Child Care Facilities</v>
      </c>
      <c r="B154" s="198"/>
      <c r="C154" s="366">
        <f>'C2Q'!N31</f>
        <v>0</v>
      </c>
      <c r="D154" s="366">
        <f>'C2Q'!O31</f>
        <v>0</v>
      </c>
      <c r="E154" s="331">
        <f>'C2Q'!P31</f>
        <v>0</v>
      </c>
      <c r="F154" s="331">
        <f>'C2Q'!Q31</f>
        <v>0</v>
      </c>
      <c r="G154" s="331">
        <f>'C2Q'!R31</f>
        <v>0</v>
      </c>
      <c r="H154" s="331">
        <f>'C2Q'!S31</f>
        <v>0</v>
      </c>
      <c r="I154" s="85">
        <f t="shared" si="28"/>
        <v>0</v>
      </c>
      <c r="J154" s="326" t="str">
        <f t="shared" si="34"/>
        <v/>
      </c>
      <c r="K154" s="332">
        <f>'C2Q'!V31</f>
        <v>0</v>
      </c>
      <c r="L154" s="21"/>
    </row>
    <row r="155" spans="1:12" s="285" customFormat="1" x14ac:dyDescent="0.25">
      <c r="A155" s="330" t="str">
        <f t="shared" si="26"/>
        <v>Community Halls and Facilities</v>
      </c>
      <c r="B155" s="198"/>
      <c r="C155" s="366">
        <f>'C2Q'!N32</f>
        <v>77802444.480000004</v>
      </c>
      <c r="D155" s="366">
        <f>'C2Q'!O32</f>
        <v>74330100</v>
      </c>
      <c r="E155" s="331">
        <f>'C2Q'!P32</f>
        <v>73619039.129999995</v>
      </c>
      <c r="F155" s="331">
        <f>'C2Q'!Q32</f>
        <v>8025928.6100000003</v>
      </c>
      <c r="G155" s="331">
        <f>'C2Q'!R32</f>
        <v>61224463.840000004</v>
      </c>
      <c r="H155" s="331">
        <f>'C2Q'!S32</f>
        <v>57561655.229999997</v>
      </c>
      <c r="I155" s="85">
        <f t="shared" si="28"/>
        <v>3662808.6100000069</v>
      </c>
      <c r="J155" s="326">
        <f t="shared" si="34"/>
        <v>6.363278810111464E-2</v>
      </c>
      <c r="K155" s="332">
        <f>'C2Q'!V32</f>
        <v>73619039.129999995</v>
      </c>
      <c r="L155" s="21"/>
    </row>
    <row r="156" spans="1:12" s="285" customFormat="1" x14ac:dyDescent="0.25">
      <c r="A156" s="330" t="str">
        <f t="shared" si="26"/>
        <v>Consumer Protection</v>
      </c>
      <c r="B156" s="198"/>
      <c r="C156" s="366">
        <f>'C2Q'!N33</f>
        <v>0</v>
      </c>
      <c r="D156" s="366">
        <f>'C2Q'!O33</f>
        <v>0</v>
      </c>
      <c r="E156" s="331">
        <f>'C2Q'!P33</f>
        <v>0</v>
      </c>
      <c r="F156" s="331">
        <f>'C2Q'!Q33</f>
        <v>0</v>
      </c>
      <c r="G156" s="331">
        <f>'C2Q'!R33</f>
        <v>0</v>
      </c>
      <c r="H156" s="331">
        <f>'C2Q'!S33</f>
        <v>0</v>
      </c>
      <c r="I156" s="85">
        <f t="shared" si="28"/>
        <v>0</v>
      </c>
      <c r="J156" s="326" t="str">
        <f t="shared" si="34"/>
        <v/>
      </c>
      <c r="K156" s="332">
        <f>'C2Q'!V33</f>
        <v>0</v>
      </c>
      <c r="L156" s="21"/>
    </row>
    <row r="157" spans="1:12" s="285" customFormat="1" x14ac:dyDescent="0.25">
      <c r="A157" s="330" t="str">
        <f t="shared" si="26"/>
        <v>Cultural Matters</v>
      </c>
      <c r="B157" s="198"/>
      <c r="C157" s="366">
        <f>'C2Q'!N34</f>
        <v>4072535.48</v>
      </c>
      <c r="D157" s="366">
        <f>'C2Q'!O34</f>
        <v>7452800</v>
      </c>
      <c r="E157" s="331">
        <f>'C2Q'!P34</f>
        <v>6766700</v>
      </c>
      <c r="F157" s="331">
        <f>'C2Q'!Q34</f>
        <v>335076.7</v>
      </c>
      <c r="G157" s="331">
        <f>'C2Q'!R34</f>
        <v>3841750.75</v>
      </c>
      <c r="H157" s="331">
        <f>'C2Q'!S34</f>
        <v>4843501.1500000004</v>
      </c>
      <c r="I157" s="85">
        <f t="shared" si="28"/>
        <v>-1001750.4000000004</v>
      </c>
      <c r="J157" s="326">
        <f t="shared" si="34"/>
        <v>-0.20682361146956688</v>
      </c>
      <c r="K157" s="332">
        <f>'C2Q'!V34</f>
        <v>6766700</v>
      </c>
      <c r="L157" s="21"/>
    </row>
    <row r="158" spans="1:12" s="285" customFormat="1" x14ac:dyDescent="0.25">
      <c r="A158" s="330" t="str">
        <f t="shared" si="26"/>
        <v>Disaster Management</v>
      </c>
      <c r="B158" s="198"/>
      <c r="C158" s="366">
        <f>'C2Q'!N35</f>
        <v>2504008.2599999998</v>
      </c>
      <c r="D158" s="366">
        <f>'C2Q'!O35</f>
        <v>4187600</v>
      </c>
      <c r="E158" s="331">
        <f>'C2Q'!P35</f>
        <v>3534372.39</v>
      </c>
      <c r="F158" s="331">
        <f>'C2Q'!Q35</f>
        <v>263207.36</v>
      </c>
      <c r="G158" s="331">
        <f>'C2Q'!R35</f>
        <v>2704294.08</v>
      </c>
      <c r="H158" s="331">
        <f>'C2Q'!S35</f>
        <v>2800570.82</v>
      </c>
      <c r="I158" s="85">
        <f t="shared" si="28"/>
        <v>-96276.739999999758</v>
      </c>
      <c r="J158" s="326">
        <f t="shared" si="34"/>
        <v>-3.4377541647027429E-2</v>
      </c>
      <c r="K158" s="332">
        <f>'C2Q'!V35</f>
        <v>3534372.39</v>
      </c>
      <c r="L158" s="21"/>
    </row>
    <row r="159" spans="1:12" s="285" customFormat="1" x14ac:dyDescent="0.25">
      <c r="A159" s="330" t="str">
        <f t="shared" si="26"/>
        <v>Education</v>
      </c>
      <c r="B159" s="198"/>
      <c r="C159" s="366">
        <f>'C2Q'!N36</f>
        <v>0</v>
      </c>
      <c r="D159" s="366">
        <f>'C2Q'!O36</f>
        <v>0</v>
      </c>
      <c r="E159" s="331">
        <f>'C2Q'!P36</f>
        <v>0</v>
      </c>
      <c r="F159" s="331">
        <f>'C2Q'!Q36</f>
        <v>0</v>
      </c>
      <c r="G159" s="331">
        <f>'C2Q'!R36</f>
        <v>0</v>
      </c>
      <c r="H159" s="331">
        <f>'C2Q'!S36</f>
        <v>0</v>
      </c>
      <c r="I159" s="85">
        <f t="shared" si="28"/>
        <v>0</v>
      </c>
      <c r="J159" s="326" t="str">
        <f t="shared" si="34"/>
        <v/>
      </c>
      <c r="K159" s="332">
        <f>'C2Q'!V36</f>
        <v>0</v>
      </c>
      <c r="L159" s="21"/>
    </row>
    <row r="160" spans="1:12" s="285" customFormat="1" x14ac:dyDescent="0.25">
      <c r="A160" s="330" t="str">
        <f t="shared" si="26"/>
        <v>Indigenous and Customary Law</v>
      </c>
      <c r="B160" s="198"/>
      <c r="C160" s="366">
        <f>'C2Q'!N37</f>
        <v>0</v>
      </c>
      <c r="D160" s="366">
        <f>'C2Q'!O37</f>
        <v>0</v>
      </c>
      <c r="E160" s="331">
        <f>'C2Q'!P37</f>
        <v>0</v>
      </c>
      <c r="F160" s="331">
        <f>'C2Q'!Q37</f>
        <v>0</v>
      </c>
      <c r="G160" s="331">
        <f>'C2Q'!R37</f>
        <v>0</v>
      </c>
      <c r="H160" s="331">
        <f>'C2Q'!S37</f>
        <v>0</v>
      </c>
      <c r="I160" s="85">
        <f t="shared" si="28"/>
        <v>0</v>
      </c>
      <c r="J160" s="326" t="str">
        <f t="shared" si="34"/>
        <v/>
      </c>
      <c r="K160" s="332">
        <f>'C2Q'!V37</f>
        <v>0</v>
      </c>
      <c r="L160" s="21"/>
    </row>
    <row r="161" spans="1:12" s="285" customFormat="1" x14ac:dyDescent="0.25">
      <c r="A161" s="330" t="str">
        <f t="shared" si="26"/>
        <v>Industrial Promotion</v>
      </c>
      <c r="B161" s="198"/>
      <c r="C161" s="366">
        <f>'C2Q'!N38</f>
        <v>0</v>
      </c>
      <c r="D161" s="366">
        <f>'C2Q'!O38</f>
        <v>0</v>
      </c>
      <c r="E161" s="331">
        <f>'C2Q'!P38</f>
        <v>0</v>
      </c>
      <c r="F161" s="331">
        <f>'C2Q'!Q38</f>
        <v>0</v>
      </c>
      <c r="G161" s="331">
        <f>'C2Q'!R38</f>
        <v>0</v>
      </c>
      <c r="H161" s="331">
        <f>'C2Q'!S38</f>
        <v>0</v>
      </c>
      <c r="I161" s="85">
        <f t="shared" si="28"/>
        <v>0</v>
      </c>
      <c r="J161" s="326" t="str">
        <f t="shared" si="34"/>
        <v/>
      </c>
      <c r="K161" s="332">
        <f>'C2Q'!V38</f>
        <v>0</v>
      </c>
      <c r="L161" s="21"/>
    </row>
    <row r="162" spans="1:12" s="285" customFormat="1" x14ac:dyDescent="0.25">
      <c r="A162" s="330" t="str">
        <f t="shared" si="26"/>
        <v>Language Policy</v>
      </c>
      <c r="B162" s="198"/>
      <c r="C162" s="366">
        <f>'C2Q'!N39</f>
        <v>0</v>
      </c>
      <c r="D162" s="366">
        <f>'C2Q'!O39</f>
        <v>0</v>
      </c>
      <c r="E162" s="331">
        <f>'C2Q'!P39</f>
        <v>0</v>
      </c>
      <c r="F162" s="331">
        <f>'C2Q'!Q39</f>
        <v>0</v>
      </c>
      <c r="G162" s="331">
        <f>'C2Q'!R39</f>
        <v>0</v>
      </c>
      <c r="H162" s="331">
        <f>'C2Q'!S39</f>
        <v>0</v>
      </c>
      <c r="I162" s="85">
        <f t="shared" si="28"/>
        <v>0</v>
      </c>
      <c r="J162" s="326" t="str">
        <f t="shared" si="34"/>
        <v/>
      </c>
      <c r="K162" s="332">
        <f>'C2Q'!V39</f>
        <v>0</v>
      </c>
      <c r="L162" s="21"/>
    </row>
    <row r="163" spans="1:12" s="285" customFormat="1" x14ac:dyDescent="0.25">
      <c r="A163" s="330" t="str">
        <f t="shared" si="26"/>
        <v>Libraries and Archives</v>
      </c>
      <c r="B163" s="198"/>
      <c r="C163" s="366">
        <f>'C2Q'!N40</f>
        <v>42026255.840000004</v>
      </c>
      <c r="D163" s="366">
        <f>'C2Q'!O40</f>
        <v>43565100</v>
      </c>
      <c r="E163" s="331">
        <f>'C2Q'!P40</f>
        <v>44005494.399999999</v>
      </c>
      <c r="F163" s="331">
        <f>'C2Q'!Q40</f>
        <v>3518824.23</v>
      </c>
      <c r="G163" s="331">
        <f>'C2Q'!R40</f>
        <v>36658025.979999997</v>
      </c>
      <c r="H163" s="331">
        <f>'C2Q'!S40</f>
        <v>36493155.979999997</v>
      </c>
      <c r="I163" s="85">
        <f t="shared" si="28"/>
        <v>164870</v>
      </c>
      <c r="J163" s="326">
        <f t="shared" si="34"/>
        <v>4.5178334285573074E-3</v>
      </c>
      <c r="K163" s="332">
        <f>'C2Q'!V40</f>
        <v>44005494.399999999</v>
      </c>
      <c r="L163" s="21"/>
    </row>
    <row r="164" spans="1:12" s="285" customFormat="1" x14ac:dyDescent="0.25">
      <c r="A164" s="330" t="str">
        <f t="shared" si="26"/>
        <v>Literacy Programmes</v>
      </c>
      <c r="B164" s="198"/>
      <c r="C164" s="366">
        <f>'C2Q'!N41</f>
        <v>0</v>
      </c>
      <c r="D164" s="366">
        <f>'C2Q'!O41</f>
        <v>0</v>
      </c>
      <c r="E164" s="331">
        <f>'C2Q'!P41</f>
        <v>0</v>
      </c>
      <c r="F164" s="331">
        <f>'C2Q'!Q41</f>
        <v>0</v>
      </c>
      <c r="G164" s="331">
        <f>'C2Q'!R41</f>
        <v>0</v>
      </c>
      <c r="H164" s="331">
        <f>'C2Q'!S41</f>
        <v>0</v>
      </c>
      <c r="I164" s="85">
        <f t="shared" si="28"/>
        <v>0</v>
      </c>
      <c r="J164" s="326" t="str">
        <f t="shared" si="34"/>
        <v/>
      </c>
      <c r="K164" s="332">
        <f>'C2Q'!V41</f>
        <v>0</v>
      </c>
      <c r="L164" s="21"/>
    </row>
    <row r="165" spans="1:12" s="285" customFormat="1" x14ac:dyDescent="0.25">
      <c r="A165" s="330" t="str">
        <f t="shared" si="26"/>
        <v>Media Services</v>
      </c>
      <c r="B165" s="198"/>
      <c r="C165" s="366">
        <f>'C2Q'!N42</f>
        <v>0</v>
      </c>
      <c r="D165" s="366">
        <f>'C2Q'!O42</f>
        <v>0</v>
      </c>
      <c r="E165" s="331">
        <f>'C2Q'!P42</f>
        <v>0</v>
      </c>
      <c r="F165" s="331">
        <f>'C2Q'!Q42</f>
        <v>0</v>
      </c>
      <c r="G165" s="331">
        <f>'C2Q'!R42</f>
        <v>0</v>
      </c>
      <c r="H165" s="331">
        <f>'C2Q'!S42</f>
        <v>0</v>
      </c>
      <c r="I165" s="85">
        <f t="shared" si="28"/>
        <v>0</v>
      </c>
      <c r="J165" s="326" t="str">
        <f t="shared" si="34"/>
        <v/>
      </c>
      <c r="K165" s="332">
        <f>'C2Q'!V42</f>
        <v>0</v>
      </c>
      <c r="L165" s="21"/>
    </row>
    <row r="166" spans="1:12" s="285" customFormat="1" x14ac:dyDescent="0.25">
      <c r="A166" s="330" t="str">
        <f t="shared" si="26"/>
        <v>Museums and Art Galleries</v>
      </c>
      <c r="B166" s="198"/>
      <c r="C166" s="366">
        <f>'C2Q'!N43</f>
        <v>4092835.85</v>
      </c>
      <c r="D166" s="366">
        <f>'C2Q'!O43</f>
        <v>4511600</v>
      </c>
      <c r="E166" s="331">
        <f>'C2Q'!P43</f>
        <v>4337755.6100000003</v>
      </c>
      <c r="F166" s="331">
        <f>'C2Q'!Q43</f>
        <v>407397.74</v>
      </c>
      <c r="G166" s="331">
        <f>'C2Q'!R43</f>
        <v>3657126.46</v>
      </c>
      <c r="H166" s="331">
        <f>'C2Q'!S43</f>
        <v>3655617.12</v>
      </c>
      <c r="I166" s="85">
        <f t="shared" si="28"/>
        <v>1509.339999999851</v>
      </c>
      <c r="J166" s="326">
        <f t="shared" si="34"/>
        <v>4.1288240821014949E-4</v>
      </c>
      <c r="K166" s="332">
        <f>'C2Q'!V43</f>
        <v>4337755.6100000003</v>
      </c>
      <c r="L166" s="21"/>
    </row>
    <row r="167" spans="1:12" s="285" customFormat="1" x14ac:dyDescent="0.25">
      <c r="A167" s="330" t="str">
        <f t="shared" si="26"/>
        <v>Population Development</v>
      </c>
      <c r="B167" s="198"/>
      <c r="C167" s="366">
        <f>'C2Q'!N44</f>
        <v>0</v>
      </c>
      <c r="D167" s="366">
        <f>'C2Q'!O44</f>
        <v>0</v>
      </c>
      <c r="E167" s="331">
        <f>'C2Q'!P44</f>
        <v>0</v>
      </c>
      <c r="F167" s="331">
        <f>'C2Q'!Q44</f>
        <v>0</v>
      </c>
      <c r="G167" s="331">
        <f>'C2Q'!R44</f>
        <v>0</v>
      </c>
      <c r="H167" s="331">
        <f>'C2Q'!S44</f>
        <v>0</v>
      </c>
      <c r="I167" s="85">
        <f t="shared" si="28"/>
        <v>0</v>
      </c>
      <c r="J167" s="326" t="str">
        <f t="shared" si="34"/>
        <v/>
      </c>
      <c r="K167" s="332">
        <f>'C2Q'!V44</f>
        <v>0</v>
      </c>
      <c r="L167" s="21"/>
    </row>
    <row r="168" spans="1:12" s="285" customFormat="1" x14ac:dyDescent="0.25">
      <c r="A168" s="330" t="str">
        <f t="shared" si="26"/>
        <v>Provincial Cultural Matters</v>
      </c>
      <c r="B168" s="198"/>
      <c r="C168" s="366">
        <f>'C2Q'!N45</f>
        <v>0</v>
      </c>
      <c r="D168" s="366">
        <f>'C2Q'!O45</f>
        <v>0</v>
      </c>
      <c r="E168" s="331">
        <f>'C2Q'!P45</f>
        <v>0</v>
      </c>
      <c r="F168" s="331">
        <f>'C2Q'!Q45</f>
        <v>0</v>
      </c>
      <c r="G168" s="331">
        <f>'C2Q'!R45</f>
        <v>0</v>
      </c>
      <c r="H168" s="331">
        <f>'C2Q'!S45</f>
        <v>0</v>
      </c>
      <c r="I168" s="85">
        <f t="shared" si="28"/>
        <v>0</v>
      </c>
      <c r="J168" s="326" t="str">
        <f t="shared" si="34"/>
        <v/>
      </c>
      <c r="K168" s="332">
        <f>'C2Q'!V45</f>
        <v>0</v>
      </c>
      <c r="L168" s="21"/>
    </row>
    <row r="169" spans="1:12" s="285" customFormat="1" x14ac:dyDescent="0.25">
      <c r="A169" s="330" t="str">
        <f t="shared" si="26"/>
        <v>Theatres</v>
      </c>
      <c r="B169" s="198"/>
      <c r="C169" s="366">
        <f>'C2Q'!N46</f>
        <v>0</v>
      </c>
      <c r="D169" s="366">
        <f>'C2Q'!O46</f>
        <v>0</v>
      </c>
      <c r="E169" s="331">
        <f>'C2Q'!P46</f>
        <v>0</v>
      </c>
      <c r="F169" s="331">
        <f>'C2Q'!Q46</f>
        <v>0</v>
      </c>
      <c r="G169" s="331">
        <f>'C2Q'!R46</f>
        <v>0</v>
      </c>
      <c r="H169" s="331">
        <f>'C2Q'!S46</f>
        <v>0</v>
      </c>
      <c r="I169" s="85">
        <f t="shared" si="28"/>
        <v>0</v>
      </c>
      <c r="J169" s="326" t="str">
        <f t="shared" si="34"/>
        <v/>
      </c>
      <c r="K169" s="332">
        <f>'C2Q'!V46</f>
        <v>0</v>
      </c>
      <c r="L169" s="21"/>
    </row>
    <row r="170" spans="1:12" s="285" customFormat="1" x14ac:dyDescent="0.25">
      <c r="A170" s="330" t="str">
        <f t="shared" si="26"/>
        <v>Zoo's</v>
      </c>
      <c r="B170" s="198"/>
      <c r="C170" s="366">
        <f>'C2Q'!N47</f>
        <v>0</v>
      </c>
      <c r="D170" s="366">
        <f>'C2Q'!O47</f>
        <v>0</v>
      </c>
      <c r="E170" s="331">
        <f>'C2Q'!P47</f>
        <v>0</v>
      </c>
      <c r="F170" s="331">
        <f>'C2Q'!Q47</f>
        <v>0</v>
      </c>
      <c r="G170" s="331">
        <f>'C2Q'!R47</f>
        <v>0</v>
      </c>
      <c r="H170" s="331">
        <f>'C2Q'!S47</f>
        <v>0</v>
      </c>
      <c r="I170" s="85">
        <f t="shared" si="28"/>
        <v>0</v>
      </c>
      <c r="J170" s="326" t="str">
        <f t="shared" si="34"/>
        <v/>
      </c>
      <c r="K170" s="332">
        <f>'C2Q'!V47</f>
        <v>0</v>
      </c>
      <c r="L170" s="21"/>
    </row>
    <row r="171" spans="1:12" s="285" customFormat="1" x14ac:dyDescent="0.25">
      <c r="A171" s="327" t="str">
        <f t="shared" si="26"/>
        <v>Sport and recreation</v>
      </c>
      <c r="B171" s="198"/>
      <c r="C171" s="210">
        <f t="shared" ref="C171:K171" si="35">SUM(C172:C176)</f>
        <v>204502114.34</v>
      </c>
      <c r="D171" s="207">
        <f t="shared" si="35"/>
        <v>223320200</v>
      </c>
      <c r="E171" s="200">
        <f t="shared" si="35"/>
        <v>225880856.27000001</v>
      </c>
      <c r="F171" s="200">
        <f t="shared" si="35"/>
        <v>16923305.100000001</v>
      </c>
      <c r="G171" s="200">
        <f t="shared" si="35"/>
        <v>177501265.68000001</v>
      </c>
      <c r="H171" s="200">
        <f t="shared" si="35"/>
        <v>179058462.97</v>
      </c>
      <c r="I171" s="85">
        <f t="shared" si="28"/>
        <v>-1557197.2899999917</v>
      </c>
      <c r="J171" s="326">
        <f t="shared" si="34"/>
        <v>-8.6965858199111717E-3</v>
      </c>
      <c r="K171" s="211">
        <f t="shared" si="35"/>
        <v>225880856.27000001</v>
      </c>
      <c r="L171" s="21"/>
    </row>
    <row r="172" spans="1:12" s="285" customFormat="1" x14ac:dyDescent="0.25">
      <c r="A172" s="330" t="str">
        <f t="shared" si="26"/>
        <v xml:space="preserve">Beaches and Jetties </v>
      </c>
      <c r="B172" s="198"/>
      <c r="C172" s="366">
        <f>'C2Q'!N49</f>
        <v>20634040.550000001</v>
      </c>
      <c r="D172" s="366">
        <f>'C2Q'!O49</f>
        <v>24480800</v>
      </c>
      <c r="E172" s="331">
        <f>'C2Q'!P49</f>
        <v>26474544.760000002</v>
      </c>
      <c r="F172" s="331">
        <f>'C2Q'!Q49</f>
        <v>1297048.69</v>
      </c>
      <c r="G172" s="331">
        <f>'C2Q'!R49</f>
        <v>19582561.98</v>
      </c>
      <c r="H172" s="331">
        <f>'C2Q'!S49</f>
        <v>20249733.300000001</v>
      </c>
      <c r="I172" s="85">
        <f t="shared" si="28"/>
        <v>-667171.3200000003</v>
      </c>
      <c r="J172" s="326">
        <f t="shared" si="34"/>
        <v>-3.2947165778227816E-2</v>
      </c>
      <c r="K172" s="332">
        <f>'C2Q'!V49</f>
        <v>26474544.760000002</v>
      </c>
      <c r="L172" s="21"/>
    </row>
    <row r="173" spans="1:12" s="285" customFormat="1" x14ac:dyDescent="0.25">
      <c r="A173" s="330" t="str">
        <f t="shared" si="26"/>
        <v>Casinos, Racing, Gambling, Wagering</v>
      </c>
      <c r="B173" s="198"/>
      <c r="C173" s="366">
        <f>'C2Q'!N50</f>
        <v>0</v>
      </c>
      <c r="D173" s="366">
        <f>'C2Q'!O50</f>
        <v>0</v>
      </c>
      <c r="E173" s="331">
        <f>'C2Q'!P50</f>
        <v>0</v>
      </c>
      <c r="F173" s="331">
        <f>'C2Q'!Q50</f>
        <v>0</v>
      </c>
      <c r="G173" s="331">
        <f>'C2Q'!R50</f>
        <v>0</v>
      </c>
      <c r="H173" s="331">
        <f>'C2Q'!S50</f>
        <v>0</v>
      </c>
      <c r="I173" s="85">
        <f t="shared" si="28"/>
        <v>0</v>
      </c>
      <c r="J173" s="326" t="str">
        <f t="shared" si="34"/>
        <v/>
      </c>
      <c r="K173" s="332">
        <f>'C2Q'!V50</f>
        <v>0</v>
      </c>
      <c r="L173" s="21"/>
    </row>
    <row r="174" spans="1:12" s="285" customFormat="1" x14ac:dyDescent="0.25">
      <c r="A174" s="330" t="str">
        <f t="shared" si="26"/>
        <v>Community Parks (including Nurseries)</v>
      </c>
      <c r="B174" s="198"/>
      <c r="C174" s="366">
        <f>'C2Q'!N51</f>
        <v>100147726.72</v>
      </c>
      <c r="D174" s="366">
        <f>'C2Q'!O51</f>
        <v>110015500</v>
      </c>
      <c r="E174" s="331">
        <f>'C2Q'!P51</f>
        <v>105029036.72</v>
      </c>
      <c r="F174" s="331">
        <f>'C2Q'!Q51</f>
        <v>8111094.96</v>
      </c>
      <c r="G174" s="331">
        <f>'C2Q'!R51</f>
        <v>85014537.829999998</v>
      </c>
      <c r="H174" s="331">
        <f>'C2Q'!S51</f>
        <v>85121976.409999996</v>
      </c>
      <c r="I174" s="85">
        <f t="shared" si="28"/>
        <v>-107438.57999999821</v>
      </c>
      <c r="J174" s="326">
        <f t="shared" si="34"/>
        <v>-1.2621720562796578E-3</v>
      </c>
      <c r="K174" s="332">
        <f>'C2Q'!V51</f>
        <v>105029036.72</v>
      </c>
      <c r="L174" s="21"/>
    </row>
    <row r="175" spans="1:12" s="285" customFormat="1" x14ac:dyDescent="0.25">
      <c r="A175" s="330" t="str">
        <f t="shared" si="26"/>
        <v>Recreational Facilities</v>
      </c>
      <c r="B175" s="198"/>
      <c r="C175" s="366">
        <f>'C2Q'!N52</f>
        <v>42344983.719999999</v>
      </c>
      <c r="D175" s="366">
        <f>'C2Q'!O52</f>
        <v>46442000</v>
      </c>
      <c r="E175" s="331">
        <f>'C2Q'!P52</f>
        <v>51703102.140000001</v>
      </c>
      <c r="F175" s="331">
        <f>'C2Q'!Q52</f>
        <v>4879375.04</v>
      </c>
      <c r="G175" s="331">
        <f>'C2Q'!R52</f>
        <v>40088339.670000002</v>
      </c>
      <c r="H175" s="331">
        <f>'C2Q'!S52</f>
        <v>40894862.270000003</v>
      </c>
      <c r="I175" s="85">
        <f t="shared" si="28"/>
        <v>-806522.60000000149</v>
      </c>
      <c r="J175" s="326">
        <f t="shared" si="34"/>
        <v>-1.972185637098128E-2</v>
      </c>
      <c r="K175" s="332">
        <f>'C2Q'!V52</f>
        <v>51703102.140000001</v>
      </c>
      <c r="L175" s="21"/>
    </row>
    <row r="176" spans="1:12" s="285" customFormat="1" x14ac:dyDescent="0.25">
      <c r="A176" s="330" t="str">
        <f t="shared" si="26"/>
        <v>Sports Grounds and Stadiums</v>
      </c>
      <c r="B176" s="198"/>
      <c r="C176" s="366">
        <f>'C2Q'!N53</f>
        <v>41375363.350000001</v>
      </c>
      <c r="D176" s="366">
        <f>'C2Q'!O53</f>
        <v>42381900</v>
      </c>
      <c r="E176" s="331">
        <f>'C2Q'!P53</f>
        <v>42674172.649999999</v>
      </c>
      <c r="F176" s="331">
        <f>'C2Q'!Q53</f>
        <v>2635786.41</v>
      </c>
      <c r="G176" s="331">
        <f>'C2Q'!R53</f>
        <v>32815826.199999999</v>
      </c>
      <c r="H176" s="331">
        <f>'C2Q'!S53</f>
        <v>32791890.989999998</v>
      </c>
      <c r="I176" s="85">
        <f t="shared" si="28"/>
        <v>23935.210000000894</v>
      </c>
      <c r="J176" s="326">
        <f t="shared" si="34"/>
        <v>7.2991246547202842E-4</v>
      </c>
      <c r="K176" s="332">
        <f>'C2Q'!V53</f>
        <v>42674172.649999999</v>
      </c>
      <c r="L176" s="21"/>
    </row>
    <row r="177" spans="1:12" s="285" customFormat="1" x14ac:dyDescent="0.25">
      <c r="A177" s="327" t="str">
        <f t="shared" si="26"/>
        <v>Public safety</v>
      </c>
      <c r="B177" s="198"/>
      <c r="C177" s="210">
        <f t="shared" ref="C177:K177" si="36">SUM(C178:C185)</f>
        <v>204655608.06</v>
      </c>
      <c r="D177" s="207">
        <f t="shared" si="36"/>
        <v>224135300</v>
      </c>
      <c r="E177" s="200">
        <f t="shared" si="36"/>
        <v>226593428.47</v>
      </c>
      <c r="F177" s="200">
        <f t="shared" si="36"/>
        <v>14716648.260000002</v>
      </c>
      <c r="G177" s="200">
        <f t="shared" si="36"/>
        <v>152020914.38</v>
      </c>
      <c r="H177" s="200">
        <f t="shared" si="36"/>
        <v>163228749.81999999</v>
      </c>
      <c r="I177" s="85">
        <f t="shared" si="28"/>
        <v>-11207835.439999998</v>
      </c>
      <c r="J177" s="326">
        <f t="shared" si="34"/>
        <v>-6.8663366302562534E-2</v>
      </c>
      <c r="K177" s="211">
        <f t="shared" si="36"/>
        <v>226593428.47</v>
      </c>
      <c r="L177" s="21"/>
    </row>
    <row r="178" spans="1:12" s="285" customFormat="1" x14ac:dyDescent="0.25">
      <c r="A178" s="330" t="str">
        <f t="shared" si="26"/>
        <v>Civil Defence</v>
      </c>
      <c r="B178" s="198"/>
      <c r="C178" s="366">
        <f>'C2Q'!N55</f>
        <v>0</v>
      </c>
      <c r="D178" s="366">
        <f>'C2Q'!O55</f>
        <v>0</v>
      </c>
      <c r="E178" s="331">
        <f>'C2Q'!P55</f>
        <v>0</v>
      </c>
      <c r="F178" s="331">
        <f>'C2Q'!Q55</f>
        <v>0</v>
      </c>
      <c r="G178" s="331">
        <f>'C2Q'!R55</f>
        <v>0</v>
      </c>
      <c r="H178" s="331">
        <f>'C2Q'!S55</f>
        <v>0</v>
      </c>
      <c r="I178" s="85">
        <f t="shared" si="28"/>
        <v>0</v>
      </c>
      <c r="J178" s="326" t="str">
        <f t="shared" si="34"/>
        <v/>
      </c>
      <c r="K178" s="332">
        <f>'C2Q'!V55</f>
        <v>0</v>
      </c>
      <c r="L178" s="21"/>
    </row>
    <row r="179" spans="1:12" s="285" customFormat="1" x14ac:dyDescent="0.25">
      <c r="A179" s="330" t="str">
        <f t="shared" si="26"/>
        <v>Cleansing</v>
      </c>
      <c r="B179" s="198"/>
      <c r="C179" s="366">
        <f>'C2Q'!N56</f>
        <v>0</v>
      </c>
      <c r="D179" s="366">
        <f>'C2Q'!O56</f>
        <v>0</v>
      </c>
      <c r="E179" s="331">
        <f>'C2Q'!P56</f>
        <v>0</v>
      </c>
      <c r="F179" s="331">
        <f>'C2Q'!Q56</f>
        <v>0</v>
      </c>
      <c r="G179" s="331">
        <f>'C2Q'!R56</f>
        <v>0</v>
      </c>
      <c r="H179" s="331">
        <f>'C2Q'!S56</f>
        <v>0</v>
      </c>
      <c r="I179" s="85">
        <f t="shared" si="28"/>
        <v>0</v>
      </c>
      <c r="J179" s="326" t="str">
        <f t="shared" si="34"/>
        <v/>
      </c>
      <c r="K179" s="332">
        <f>'C2Q'!V56</f>
        <v>0</v>
      </c>
      <c r="L179" s="21"/>
    </row>
    <row r="180" spans="1:12" s="285" customFormat="1" x14ac:dyDescent="0.25">
      <c r="A180" s="330" t="str">
        <f t="shared" si="26"/>
        <v>Control of Public Nuisances</v>
      </c>
      <c r="B180" s="198"/>
      <c r="C180" s="366">
        <f>'C2Q'!N57</f>
        <v>0</v>
      </c>
      <c r="D180" s="366">
        <f>'C2Q'!O57</f>
        <v>0</v>
      </c>
      <c r="E180" s="331">
        <f>'C2Q'!P57</f>
        <v>0</v>
      </c>
      <c r="F180" s="331">
        <f>'C2Q'!Q57</f>
        <v>0</v>
      </c>
      <c r="G180" s="331">
        <f>'C2Q'!R57</f>
        <v>0</v>
      </c>
      <c r="H180" s="331">
        <f>'C2Q'!S57</f>
        <v>0</v>
      </c>
      <c r="I180" s="85">
        <f t="shared" si="28"/>
        <v>0</v>
      </c>
      <c r="J180" s="326" t="str">
        <f t="shared" si="34"/>
        <v/>
      </c>
      <c r="K180" s="332">
        <f>'C2Q'!V57</f>
        <v>0</v>
      </c>
      <c r="L180" s="21"/>
    </row>
    <row r="181" spans="1:12" s="285" customFormat="1" x14ac:dyDescent="0.25">
      <c r="A181" s="330" t="str">
        <f t="shared" si="26"/>
        <v xml:space="preserve">Fencing and Fences </v>
      </c>
      <c r="B181" s="198"/>
      <c r="C181" s="366">
        <f>'C2Q'!N58</f>
        <v>0</v>
      </c>
      <c r="D181" s="366">
        <f>'C2Q'!O58</f>
        <v>0</v>
      </c>
      <c r="E181" s="331">
        <f>'C2Q'!P58</f>
        <v>0</v>
      </c>
      <c r="F181" s="331">
        <f>'C2Q'!Q58</f>
        <v>0</v>
      </c>
      <c r="G181" s="331">
        <f>'C2Q'!R58</f>
        <v>0</v>
      </c>
      <c r="H181" s="331">
        <f>'C2Q'!S58</f>
        <v>0</v>
      </c>
      <c r="I181" s="85">
        <f t="shared" si="28"/>
        <v>0</v>
      </c>
      <c r="J181" s="326" t="str">
        <f t="shared" si="34"/>
        <v/>
      </c>
      <c r="K181" s="332">
        <f>'C2Q'!V58</f>
        <v>0</v>
      </c>
      <c r="L181" s="21"/>
    </row>
    <row r="182" spans="1:12" s="285" customFormat="1" x14ac:dyDescent="0.25">
      <c r="A182" s="330" t="str">
        <f t="shared" si="26"/>
        <v>Fire Fighting and Protection</v>
      </c>
      <c r="B182" s="198"/>
      <c r="C182" s="366">
        <f>'C2Q'!N59</f>
        <v>118358522.88</v>
      </c>
      <c r="D182" s="366">
        <f>'C2Q'!O59</f>
        <v>122121400</v>
      </c>
      <c r="E182" s="331">
        <f>'C2Q'!P59</f>
        <v>119998596.16</v>
      </c>
      <c r="F182" s="331">
        <f>'C2Q'!Q59</f>
        <v>8940695.9000000004</v>
      </c>
      <c r="G182" s="331">
        <f>'C2Q'!R59</f>
        <v>94322059</v>
      </c>
      <c r="H182" s="331">
        <f>'C2Q'!S59</f>
        <v>96780850.769999996</v>
      </c>
      <c r="I182" s="85">
        <f t="shared" si="28"/>
        <v>-2458791.7699999958</v>
      </c>
      <c r="J182" s="326">
        <f t="shared" si="34"/>
        <v>-2.5405767261163288E-2</v>
      </c>
      <c r="K182" s="332">
        <f>'C2Q'!V59</f>
        <v>119998596.16</v>
      </c>
      <c r="L182" s="21"/>
    </row>
    <row r="183" spans="1:12" s="285" customFormat="1" x14ac:dyDescent="0.25">
      <c r="A183" s="330" t="str">
        <f t="shared" si="26"/>
        <v>Licensing and Control of Animals</v>
      </c>
      <c r="B183" s="198"/>
      <c r="C183" s="366">
        <f>'C2Q'!N60</f>
        <v>918631.91</v>
      </c>
      <c r="D183" s="366">
        <f>'C2Q'!O60</f>
        <v>1036600</v>
      </c>
      <c r="E183" s="331">
        <f>'C2Q'!P60</f>
        <v>1036600</v>
      </c>
      <c r="F183" s="331">
        <f>'C2Q'!Q60</f>
        <v>72866.67</v>
      </c>
      <c r="G183" s="331">
        <f>'C2Q'!R60</f>
        <v>567266.69999999995</v>
      </c>
      <c r="H183" s="331">
        <f>'C2Q'!S60</f>
        <v>548566.68999999994</v>
      </c>
      <c r="I183" s="85">
        <f t="shared" si="28"/>
        <v>18700.010000000009</v>
      </c>
      <c r="J183" s="326">
        <f t="shared" si="34"/>
        <v>3.4088854356067469E-2</v>
      </c>
      <c r="K183" s="332">
        <f>'C2Q'!V60</f>
        <v>1036600</v>
      </c>
      <c r="L183" s="21"/>
    </row>
    <row r="184" spans="1:12" s="285" customFormat="1" x14ac:dyDescent="0.25">
      <c r="A184" s="330" t="str">
        <f t="shared" si="26"/>
        <v>Police Forces, Traffic and Street Parking Control</v>
      </c>
      <c r="B184" s="198"/>
      <c r="C184" s="366">
        <f>'C2Q'!N61</f>
        <v>85378453.269999996</v>
      </c>
      <c r="D184" s="366">
        <f>'C2Q'!O61</f>
        <v>100977300</v>
      </c>
      <c r="E184" s="331">
        <f>'C2Q'!P61</f>
        <v>105558232.31</v>
      </c>
      <c r="F184" s="331">
        <f>'C2Q'!Q61</f>
        <v>5703085.6900000004</v>
      </c>
      <c r="G184" s="331">
        <f>'C2Q'!R61</f>
        <v>57131588.68</v>
      </c>
      <c r="H184" s="331">
        <f>'C2Q'!S61</f>
        <v>65899332.359999999</v>
      </c>
      <c r="I184" s="85">
        <f t="shared" si="28"/>
        <v>-8767743.6799999997</v>
      </c>
      <c r="J184" s="326">
        <f t="shared" si="34"/>
        <v>-0.13304753426184787</v>
      </c>
      <c r="K184" s="332">
        <f>'C2Q'!V61</f>
        <v>105558232.31</v>
      </c>
      <c r="L184" s="21"/>
    </row>
    <row r="185" spans="1:12" s="285" customFormat="1" x14ac:dyDescent="0.25">
      <c r="A185" s="330" t="str">
        <f t="shared" si="26"/>
        <v>Pounds</v>
      </c>
      <c r="B185" s="198"/>
      <c r="C185" s="366">
        <f>'C2Q'!N62</f>
        <v>0</v>
      </c>
      <c r="D185" s="366">
        <f>'C2Q'!O62</f>
        <v>0</v>
      </c>
      <c r="E185" s="331">
        <f>'C2Q'!P62</f>
        <v>0</v>
      </c>
      <c r="F185" s="331">
        <f>'C2Q'!Q62</f>
        <v>0</v>
      </c>
      <c r="G185" s="331">
        <f>'C2Q'!R62</f>
        <v>0</v>
      </c>
      <c r="H185" s="331">
        <f>'C2Q'!S62</f>
        <v>0</v>
      </c>
      <c r="I185" s="85">
        <f t="shared" si="28"/>
        <v>0</v>
      </c>
      <c r="J185" s="326" t="str">
        <f t="shared" si="34"/>
        <v/>
      </c>
      <c r="K185" s="332">
        <f>'C2Q'!V62</f>
        <v>0</v>
      </c>
      <c r="L185" s="21"/>
    </row>
    <row r="186" spans="1:12" s="285" customFormat="1" x14ac:dyDescent="0.25">
      <c r="A186" s="327" t="str">
        <f t="shared" si="26"/>
        <v>Housing</v>
      </c>
      <c r="B186" s="198"/>
      <c r="C186" s="210">
        <f t="shared" ref="C186:H186" si="37">SUM(C187:C188)</f>
        <v>163790597.63</v>
      </c>
      <c r="D186" s="207">
        <f t="shared" si="37"/>
        <v>94938900</v>
      </c>
      <c r="E186" s="200">
        <f t="shared" si="37"/>
        <v>96379953.040000007</v>
      </c>
      <c r="F186" s="200">
        <f t="shared" si="37"/>
        <v>2486516.38</v>
      </c>
      <c r="G186" s="200">
        <f t="shared" si="37"/>
        <v>37540503.340000004</v>
      </c>
      <c r="H186" s="200">
        <f t="shared" si="37"/>
        <v>54060184.719999999</v>
      </c>
      <c r="I186" s="85">
        <f t="shared" si="28"/>
        <v>-16519681.379999995</v>
      </c>
      <c r="J186" s="326">
        <f t="shared" si="34"/>
        <v>-0.30557944752801419</v>
      </c>
      <c r="K186" s="211">
        <f>SUM(K187:K188)</f>
        <v>96379953.040000007</v>
      </c>
      <c r="L186" s="21"/>
    </row>
    <row r="187" spans="1:12" s="285" customFormat="1" x14ac:dyDescent="0.25">
      <c r="A187" s="330" t="str">
        <f t="shared" si="26"/>
        <v>Housing</v>
      </c>
      <c r="B187" s="198"/>
      <c r="C187" s="366">
        <f>'C2Q'!N64</f>
        <v>163790597.63</v>
      </c>
      <c r="D187" s="366">
        <f>'C2Q'!O64</f>
        <v>94938900</v>
      </c>
      <c r="E187" s="331">
        <f>'C2Q'!P64</f>
        <v>96379953.040000007</v>
      </c>
      <c r="F187" s="331">
        <f>'C2Q'!Q64</f>
        <v>2486516.38</v>
      </c>
      <c r="G187" s="331">
        <f>'C2Q'!R64</f>
        <v>37540503.340000004</v>
      </c>
      <c r="H187" s="331">
        <f>'C2Q'!S64</f>
        <v>54060184.719999999</v>
      </c>
      <c r="I187" s="85">
        <f t="shared" si="28"/>
        <v>-16519681.379999995</v>
      </c>
      <c r="J187" s="326">
        <f t="shared" si="34"/>
        <v>-0.30557944752801419</v>
      </c>
      <c r="K187" s="332">
        <f>'C2Q'!V64</f>
        <v>96379953.040000007</v>
      </c>
      <c r="L187" s="21"/>
    </row>
    <row r="188" spans="1:12" s="285" customFormat="1" x14ac:dyDescent="0.25">
      <c r="A188" s="330" t="str">
        <f t="shared" si="26"/>
        <v>Informal Settlements</v>
      </c>
      <c r="B188" s="198"/>
      <c r="C188" s="366">
        <f>'C2Q'!N65</f>
        <v>0</v>
      </c>
      <c r="D188" s="366">
        <f>'C2Q'!O65</f>
        <v>0</v>
      </c>
      <c r="E188" s="331">
        <f>'C2Q'!P65</f>
        <v>0</v>
      </c>
      <c r="F188" s="331">
        <f>'C2Q'!Q65</f>
        <v>0</v>
      </c>
      <c r="G188" s="331">
        <f>'C2Q'!R65</f>
        <v>0</v>
      </c>
      <c r="H188" s="331">
        <f>'C2Q'!S65</f>
        <v>0</v>
      </c>
      <c r="I188" s="85">
        <f t="shared" ref="I188:I208" si="38">G188-H188</f>
        <v>0</v>
      </c>
      <c r="J188" s="326" t="str">
        <f t="shared" si="34"/>
        <v/>
      </c>
      <c r="K188" s="332">
        <f>'C2Q'!V65</f>
        <v>0</v>
      </c>
      <c r="L188" s="21"/>
    </row>
    <row r="189" spans="1:12" s="285" customFormat="1" x14ac:dyDescent="0.25">
      <c r="A189" s="327" t="str">
        <f t="shared" si="26"/>
        <v>Health</v>
      </c>
      <c r="B189" s="198"/>
      <c r="C189" s="210">
        <f t="shared" ref="C189:K189" si="39">SUM(C190:C196)</f>
        <v>6416236.9900000002</v>
      </c>
      <c r="D189" s="207">
        <f t="shared" si="39"/>
        <v>7182200</v>
      </c>
      <c r="E189" s="200">
        <f t="shared" si="39"/>
        <v>7063100</v>
      </c>
      <c r="F189" s="200">
        <f t="shared" si="39"/>
        <v>483164.05</v>
      </c>
      <c r="G189" s="200">
        <f t="shared" si="39"/>
        <v>5892633.2000000002</v>
      </c>
      <c r="H189" s="200">
        <f t="shared" si="39"/>
        <v>5762740.6399999997</v>
      </c>
      <c r="I189" s="85">
        <f t="shared" si="38"/>
        <v>129892.56000000052</v>
      </c>
      <c r="J189" s="326">
        <f t="shared" si="34"/>
        <v>2.2540066977576233E-2</v>
      </c>
      <c r="K189" s="211">
        <f t="shared" si="39"/>
        <v>7063100</v>
      </c>
      <c r="L189" s="21"/>
    </row>
    <row r="190" spans="1:12" s="285" customFormat="1" x14ac:dyDescent="0.25">
      <c r="A190" s="330" t="str">
        <f t="shared" si="26"/>
        <v>Ambulance</v>
      </c>
      <c r="B190" s="198"/>
      <c r="C190" s="366">
        <f>'C2Q'!N67</f>
        <v>0</v>
      </c>
      <c r="D190" s="366">
        <f>'C2Q'!O67</f>
        <v>0</v>
      </c>
      <c r="E190" s="331">
        <f>'C2Q'!P67</f>
        <v>0</v>
      </c>
      <c r="F190" s="331">
        <f>'C2Q'!Q67</f>
        <v>0</v>
      </c>
      <c r="G190" s="331">
        <f>'C2Q'!R67</f>
        <v>0</v>
      </c>
      <c r="H190" s="331">
        <f>'C2Q'!S67</f>
        <v>0</v>
      </c>
      <c r="I190" s="85">
        <f t="shared" si="38"/>
        <v>0</v>
      </c>
      <c r="J190" s="326" t="str">
        <f t="shared" si="34"/>
        <v/>
      </c>
      <c r="K190" s="332">
        <f>'C2Q'!V67</f>
        <v>0</v>
      </c>
      <c r="L190" s="21"/>
    </row>
    <row r="191" spans="1:12" s="285" customFormat="1" x14ac:dyDescent="0.25">
      <c r="A191" s="330" t="str">
        <f t="shared" si="26"/>
        <v>Health Services</v>
      </c>
      <c r="B191" s="198"/>
      <c r="C191" s="366">
        <f>'C2Q'!N68</f>
        <v>6416236.9900000002</v>
      </c>
      <c r="D191" s="366">
        <f>'C2Q'!O68</f>
        <v>7182200</v>
      </c>
      <c r="E191" s="331">
        <f>'C2Q'!P68</f>
        <v>7063100</v>
      </c>
      <c r="F191" s="331">
        <f>'C2Q'!Q68</f>
        <v>483164.05</v>
      </c>
      <c r="G191" s="331">
        <f>'C2Q'!R68</f>
        <v>5892633.2000000002</v>
      </c>
      <c r="H191" s="331">
        <f>'C2Q'!S68</f>
        <v>5762740.6399999997</v>
      </c>
      <c r="I191" s="85">
        <f t="shared" si="38"/>
        <v>129892.56000000052</v>
      </c>
      <c r="J191" s="326">
        <f t="shared" si="34"/>
        <v>2.2540066977576233E-2</v>
      </c>
      <c r="K191" s="332">
        <f>'C2Q'!V68</f>
        <v>7063100</v>
      </c>
      <c r="L191" s="21"/>
    </row>
    <row r="192" spans="1:12" s="285" customFormat="1" x14ac:dyDescent="0.25">
      <c r="A192" s="330" t="str">
        <f t="shared" ref="A192:A246" si="40">A70</f>
        <v>Laboratory Services</v>
      </c>
      <c r="B192" s="198"/>
      <c r="C192" s="366">
        <f>'C2Q'!N69</f>
        <v>0</v>
      </c>
      <c r="D192" s="366">
        <f>'C2Q'!O69</f>
        <v>0</v>
      </c>
      <c r="E192" s="331">
        <f>'C2Q'!P69</f>
        <v>0</v>
      </c>
      <c r="F192" s="331">
        <f>'C2Q'!Q69</f>
        <v>0</v>
      </c>
      <c r="G192" s="331">
        <f>'C2Q'!R69</f>
        <v>0</v>
      </c>
      <c r="H192" s="331">
        <f>'C2Q'!S69</f>
        <v>0</v>
      </c>
      <c r="I192" s="85">
        <f t="shared" si="38"/>
        <v>0</v>
      </c>
      <c r="J192" s="326" t="str">
        <f t="shared" si="34"/>
        <v/>
      </c>
      <c r="K192" s="332">
        <f>'C2Q'!V69</f>
        <v>0</v>
      </c>
      <c r="L192" s="21"/>
    </row>
    <row r="193" spans="1:12" s="285" customFormat="1" x14ac:dyDescent="0.25">
      <c r="A193" s="330" t="str">
        <f t="shared" si="40"/>
        <v>Food Control</v>
      </c>
      <c r="B193" s="198"/>
      <c r="C193" s="366">
        <f>'C2Q'!N70</f>
        <v>0</v>
      </c>
      <c r="D193" s="366">
        <f>'C2Q'!O70</f>
        <v>0</v>
      </c>
      <c r="E193" s="331">
        <f>'C2Q'!P70</f>
        <v>0</v>
      </c>
      <c r="F193" s="331">
        <f>'C2Q'!Q70</f>
        <v>0</v>
      </c>
      <c r="G193" s="331">
        <f>'C2Q'!R70</f>
        <v>0</v>
      </c>
      <c r="H193" s="331">
        <f>'C2Q'!S70</f>
        <v>0</v>
      </c>
      <c r="I193" s="85">
        <f t="shared" si="38"/>
        <v>0</v>
      </c>
      <c r="J193" s="326" t="str">
        <f t="shared" si="34"/>
        <v/>
      </c>
      <c r="K193" s="332">
        <f>'C2Q'!V70</f>
        <v>0</v>
      </c>
      <c r="L193" s="21"/>
    </row>
    <row r="194" spans="1:12" s="285" customFormat="1" ht="24" customHeight="1" x14ac:dyDescent="0.25">
      <c r="A194" s="330" t="str">
        <f t="shared" si="40"/>
        <v>Health Surveillance and Prevention of Communicable Diseases including immunizations</v>
      </c>
      <c r="B194" s="198"/>
      <c r="C194" s="366">
        <f>'C2Q'!N71</f>
        <v>0</v>
      </c>
      <c r="D194" s="366">
        <f>'C2Q'!O71</f>
        <v>0</v>
      </c>
      <c r="E194" s="331">
        <f>'C2Q'!P71</f>
        <v>0</v>
      </c>
      <c r="F194" s="331">
        <f>'C2Q'!Q71</f>
        <v>0</v>
      </c>
      <c r="G194" s="331">
        <f>'C2Q'!R71</f>
        <v>0</v>
      </c>
      <c r="H194" s="331">
        <f>'C2Q'!S71</f>
        <v>0</v>
      </c>
      <c r="I194" s="85">
        <f t="shared" si="38"/>
        <v>0</v>
      </c>
      <c r="J194" s="326" t="str">
        <f t="shared" si="34"/>
        <v/>
      </c>
      <c r="K194" s="332">
        <f>'C2Q'!V71</f>
        <v>0</v>
      </c>
      <c r="L194" s="21"/>
    </row>
    <row r="195" spans="1:12" s="285" customFormat="1" x14ac:dyDescent="0.25">
      <c r="A195" s="330" t="str">
        <f t="shared" si="40"/>
        <v>Vector Control</v>
      </c>
      <c r="B195" s="198"/>
      <c r="C195" s="366">
        <f>'C2Q'!N72</f>
        <v>0</v>
      </c>
      <c r="D195" s="366">
        <f>'C2Q'!O72</f>
        <v>0</v>
      </c>
      <c r="E195" s="331">
        <f>'C2Q'!P72</f>
        <v>0</v>
      </c>
      <c r="F195" s="331">
        <f>'C2Q'!Q72</f>
        <v>0</v>
      </c>
      <c r="G195" s="331">
        <f>'C2Q'!R72</f>
        <v>0</v>
      </c>
      <c r="H195" s="331">
        <f>'C2Q'!S72</f>
        <v>0</v>
      </c>
      <c r="I195" s="85">
        <f t="shared" si="38"/>
        <v>0</v>
      </c>
      <c r="J195" s="326" t="str">
        <f t="shared" si="34"/>
        <v/>
      </c>
      <c r="K195" s="332">
        <f>'C2Q'!V72</f>
        <v>0</v>
      </c>
      <c r="L195" s="21"/>
    </row>
    <row r="196" spans="1:12" s="285" customFormat="1" x14ac:dyDescent="0.25">
      <c r="A196" s="330" t="str">
        <f t="shared" si="40"/>
        <v>Chemical Safety</v>
      </c>
      <c r="B196" s="198"/>
      <c r="C196" s="366">
        <f>'C2Q'!N73</f>
        <v>0</v>
      </c>
      <c r="D196" s="366">
        <f>'C2Q'!O73</f>
        <v>0</v>
      </c>
      <c r="E196" s="331">
        <f>'C2Q'!P73</f>
        <v>0</v>
      </c>
      <c r="F196" s="331">
        <f>'C2Q'!Q73</f>
        <v>0</v>
      </c>
      <c r="G196" s="331">
        <f>'C2Q'!R73</f>
        <v>0</v>
      </c>
      <c r="H196" s="331">
        <f>'C2Q'!S73</f>
        <v>0</v>
      </c>
      <c r="I196" s="85">
        <f t="shared" si="38"/>
        <v>0</v>
      </c>
      <c r="J196" s="326" t="str">
        <f t="shared" si="34"/>
        <v/>
      </c>
      <c r="K196" s="332">
        <f>'C2Q'!V73</f>
        <v>0</v>
      </c>
      <c r="L196" s="21"/>
    </row>
    <row r="197" spans="1:12" s="285" customFormat="1" x14ac:dyDescent="0.25">
      <c r="A197" s="311" t="str">
        <f t="shared" si="40"/>
        <v>Economic and environmental services</v>
      </c>
      <c r="B197" s="198"/>
      <c r="C197" s="591">
        <f t="shared" ref="C197:H197" si="41">C198+C209+C214</f>
        <v>513512632.31</v>
      </c>
      <c r="D197" s="53">
        <f t="shared" si="41"/>
        <v>420651100</v>
      </c>
      <c r="E197" s="52">
        <f t="shared" si="41"/>
        <v>414170052.55000001</v>
      </c>
      <c r="F197" s="52">
        <f t="shared" si="41"/>
        <v>32868887.169999998</v>
      </c>
      <c r="G197" s="52">
        <f t="shared" si="41"/>
        <v>333908695.85000008</v>
      </c>
      <c r="H197" s="52">
        <f t="shared" si="41"/>
        <v>345468396.19999999</v>
      </c>
      <c r="I197" s="85">
        <f t="shared" si="38"/>
        <v>-11559700.349999905</v>
      </c>
      <c r="J197" s="326">
        <f t="shared" si="34"/>
        <v>-3.3460948894751333E-2</v>
      </c>
      <c r="K197" s="79">
        <f>K198+K209+K214</f>
        <v>414170052.55000001</v>
      </c>
      <c r="L197" s="21"/>
    </row>
    <row r="198" spans="1:12" s="285" customFormat="1" x14ac:dyDescent="0.25">
      <c r="A198" s="327" t="str">
        <f t="shared" si="40"/>
        <v>Planning and development</v>
      </c>
      <c r="B198" s="198"/>
      <c r="C198" s="210">
        <f t="shared" ref="C198:K198" si="42">SUM(C199:C208)</f>
        <v>201848938.86999997</v>
      </c>
      <c r="D198" s="207">
        <f t="shared" si="42"/>
        <v>102513500</v>
      </c>
      <c r="E198" s="200">
        <f t="shared" si="42"/>
        <v>103750433.37</v>
      </c>
      <c r="F198" s="200">
        <f t="shared" si="42"/>
        <v>6655116.7199999997</v>
      </c>
      <c r="G198" s="200">
        <f t="shared" si="42"/>
        <v>77466105.110000014</v>
      </c>
      <c r="H198" s="200">
        <f t="shared" si="42"/>
        <v>85090225.530000016</v>
      </c>
      <c r="I198" s="85">
        <f t="shared" si="38"/>
        <v>-7624120.4200000018</v>
      </c>
      <c r="J198" s="326">
        <f t="shared" si="34"/>
        <v>-8.9600425577811962E-2</v>
      </c>
      <c r="K198" s="211">
        <f t="shared" si="42"/>
        <v>103750433.37</v>
      </c>
      <c r="L198" s="21"/>
    </row>
    <row r="199" spans="1:12" s="285" customFormat="1" x14ac:dyDescent="0.25">
      <c r="A199" s="330" t="str">
        <f t="shared" si="40"/>
        <v>Billboards</v>
      </c>
      <c r="B199" s="198"/>
      <c r="C199" s="366">
        <f>'C2Q'!N76</f>
        <v>1903100.06</v>
      </c>
      <c r="D199" s="366">
        <f>'C2Q'!O76</f>
        <v>2525900</v>
      </c>
      <c r="E199" s="331">
        <f>'C2Q'!P76</f>
        <v>2633239.96</v>
      </c>
      <c r="F199" s="331">
        <f>'C2Q'!Q76</f>
        <v>165097.18</v>
      </c>
      <c r="G199" s="331">
        <f>'C2Q'!R76</f>
        <v>1870212.48</v>
      </c>
      <c r="H199" s="331">
        <f>'C2Q'!S76</f>
        <v>1887822.94</v>
      </c>
      <c r="I199" s="85">
        <f t="shared" si="38"/>
        <v>-17610.459999999963</v>
      </c>
      <c r="J199" s="326">
        <f t="shared" si="34"/>
        <v>-9.3284489910902147E-3</v>
      </c>
      <c r="K199" s="332">
        <f>'C2Q'!V76</f>
        <v>2633239.96</v>
      </c>
      <c r="L199" s="21"/>
    </row>
    <row r="200" spans="1:12" s="285" customFormat="1" x14ac:dyDescent="0.25">
      <c r="A200" s="330" t="str">
        <f t="shared" si="40"/>
        <v>Corporate Wide Strategic Planning (IDPs, LEDs)</v>
      </c>
      <c r="B200" s="198"/>
      <c r="C200" s="366">
        <f>'C2Q'!N77</f>
        <v>24712913.140000001</v>
      </c>
      <c r="D200" s="366">
        <f>'C2Q'!O77</f>
        <v>24642500</v>
      </c>
      <c r="E200" s="331">
        <f>'C2Q'!P77</f>
        <v>24199900</v>
      </c>
      <c r="F200" s="331">
        <f>'C2Q'!Q77</f>
        <v>1590500.52</v>
      </c>
      <c r="G200" s="331">
        <f>'C2Q'!R77</f>
        <v>17269031.350000001</v>
      </c>
      <c r="H200" s="331">
        <f>'C2Q'!S77</f>
        <v>19965855.280000001</v>
      </c>
      <c r="I200" s="85">
        <f t="shared" si="38"/>
        <v>-2696823.9299999997</v>
      </c>
      <c r="J200" s="326">
        <f t="shared" si="34"/>
        <v>-0.13507179593260077</v>
      </c>
      <c r="K200" s="332">
        <f>'C2Q'!V77</f>
        <v>24199900</v>
      </c>
      <c r="L200" s="21"/>
    </row>
    <row r="201" spans="1:12" s="285" customFormat="1" x14ac:dyDescent="0.25">
      <c r="A201" s="330" t="str">
        <f t="shared" si="40"/>
        <v>Central City Improvement District</v>
      </c>
      <c r="B201" s="198"/>
      <c r="C201" s="366">
        <f>'C2Q'!N78</f>
        <v>0</v>
      </c>
      <c r="D201" s="366">
        <f>'C2Q'!O78</f>
        <v>0</v>
      </c>
      <c r="E201" s="331">
        <f>'C2Q'!P78</f>
        <v>0</v>
      </c>
      <c r="F201" s="331">
        <f>'C2Q'!Q78</f>
        <v>0</v>
      </c>
      <c r="G201" s="331">
        <f>'C2Q'!R78</f>
        <v>0</v>
      </c>
      <c r="H201" s="331">
        <f>'C2Q'!S78</f>
        <v>0</v>
      </c>
      <c r="I201" s="85">
        <f t="shared" si="38"/>
        <v>0</v>
      </c>
      <c r="J201" s="326" t="str">
        <f t="shared" si="34"/>
        <v/>
      </c>
      <c r="K201" s="332">
        <f>'C2Q'!V78</f>
        <v>0</v>
      </c>
      <c r="L201" s="21"/>
    </row>
    <row r="202" spans="1:12" s="285" customFormat="1" x14ac:dyDescent="0.25">
      <c r="A202" s="330" t="str">
        <f t="shared" si="40"/>
        <v>Development Facilitation</v>
      </c>
      <c r="B202" s="198"/>
      <c r="C202" s="366">
        <f>'C2Q'!N79</f>
        <v>5726001.9000000004</v>
      </c>
      <c r="D202" s="366">
        <f>'C2Q'!O79</f>
        <v>4668500</v>
      </c>
      <c r="E202" s="331">
        <f>'C2Q'!P79</f>
        <v>4682052.4800000004</v>
      </c>
      <c r="F202" s="331">
        <f>'C2Q'!Q79</f>
        <v>208727.55</v>
      </c>
      <c r="G202" s="331">
        <f>'C2Q'!R79</f>
        <v>4317263.83</v>
      </c>
      <c r="H202" s="331">
        <f>'C2Q'!S79</f>
        <v>5125151.84</v>
      </c>
      <c r="I202" s="85">
        <f t="shared" si="38"/>
        <v>-807888.00999999978</v>
      </c>
      <c r="J202" s="326">
        <f t="shared" si="34"/>
        <v>-0.15763201466436941</v>
      </c>
      <c r="K202" s="332">
        <f>'C2Q'!V79</f>
        <v>4682052.4800000004</v>
      </c>
      <c r="L202" s="21"/>
    </row>
    <row r="203" spans="1:12" s="285" customFormat="1" x14ac:dyDescent="0.25">
      <c r="A203" s="330" t="str">
        <f t="shared" si="40"/>
        <v>Economic Development/Planning</v>
      </c>
      <c r="B203" s="198"/>
      <c r="C203" s="366">
        <f>'C2Q'!N80</f>
        <v>138342900.41999999</v>
      </c>
      <c r="D203" s="366">
        <f>'C2Q'!O80</f>
        <v>30928400</v>
      </c>
      <c r="E203" s="331">
        <f>'C2Q'!P80</f>
        <v>29525489.02</v>
      </c>
      <c r="F203" s="331">
        <f>'C2Q'!Q80</f>
        <v>2088557.97</v>
      </c>
      <c r="G203" s="331">
        <f>'C2Q'!R80</f>
        <v>22581396.800000001</v>
      </c>
      <c r="H203" s="331">
        <f>'C2Q'!S80</f>
        <v>23337673.059999999</v>
      </c>
      <c r="I203" s="85">
        <f t="shared" si="38"/>
        <v>-756276.25999999791</v>
      </c>
      <c r="J203" s="326">
        <f t="shared" si="34"/>
        <v>-3.2405812612750606E-2</v>
      </c>
      <c r="K203" s="332">
        <f>'C2Q'!V80</f>
        <v>29525489.02</v>
      </c>
      <c r="L203" s="21"/>
    </row>
    <row r="204" spans="1:12" s="285" customFormat="1" x14ac:dyDescent="0.25">
      <c r="A204" s="330" t="str">
        <f t="shared" si="40"/>
        <v>Regional Planning and Development</v>
      </c>
      <c r="B204" s="198"/>
      <c r="C204" s="366">
        <f>'C2Q'!N81</f>
        <v>0</v>
      </c>
      <c r="D204" s="366">
        <f>'C2Q'!O81</f>
        <v>0</v>
      </c>
      <c r="E204" s="331">
        <f>'C2Q'!P81</f>
        <v>0</v>
      </c>
      <c r="F204" s="331">
        <f>'C2Q'!Q81</f>
        <v>0</v>
      </c>
      <c r="G204" s="331">
        <f>'C2Q'!R81</f>
        <v>0</v>
      </c>
      <c r="H204" s="331">
        <f>'C2Q'!S81</f>
        <v>0</v>
      </c>
      <c r="I204" s="85">
        <f t="shared" si="38"/>
        <v>0</v>
      </c>
      <c r="J204" s="326" t="str">
        <f t="shared" si="34"/>
        <v/>
      </c>
      <c r="K204" s="332">
        <f>'C2Q'!V81</f>
        <v>0</v>
      </c>
      <c r="L204" s="21"/>
    </row>
    <row r="205" spans="1:12" s="285" customFormat="1" ht="22.5" x14ac:dyDescent="0.25">
      <c r="A205" s="330" t="str">
        <f t="shared" si="40"/>
        <v>Town Planning, Building Regulations and Enforcement, and City Engineer</v>
      </c>
      <c r="B205" s="198"/>
      <c r="C205" s="366">
        <f>'C2Q'!N82</f>
        <v>25122216.899999999</v>
      </c>
      <c r="D205" s="366">
        <f>'C2Q'!O82</f>
        <v>27048000</v>
      </c>
      <c r="E205" s="331">
        <f>'C2Q'!P82</f>
        <v>27823278.48</v>
      </c>
      <c r="F205" s="331">
        <f>'C2Q'!Q82</f>
        <v>2256346.2999999998</v>
      </c>
      <c r="G205" s="331">
        <f>'C2Q'!R82</f>
        <v>23169683.18</v>
      </c>
      <c r="H205" s="331">
        <f>'C2Q'!S82</f>
        <v>23226590.760000002</v>
      </c>
      <c r="I205" s="85">
        <f t="shared" si="38"/>
        <v>-56907.580000001937</v>
      </c>
      <c r="J205" s="326">
        <f t="shared" si="34"/>
        <v>-2.4501047350438585E-3</v>
      </c>
      <c r="K205" s="332">
        <f>'C2Q'!V82</f>
        <v>27823278.48</v>
      </c>
      <c r="L205" s="21"/>
    </row>
    <row r="206" spans="1:12" s="285" customFormat="1" x14ac:dyDescent="0.25">
      <c r="A206" s="330" t="str">
        <f t="shared" si="40"/>
        <v>Project Management Unit</v>
      </c>
      <c r="B206" s="198"/>
      <c r="C206" s="366">
        <f>'C2Q'!N83</f>
        <v>6041806.4500000002</v>
      </c>
      <c r="D206" s="366">
        <f>'C2Q'!O83</f>
        <v>12700200</v>
      </c>
      <c r="E206" s="331">
        <f>'C2Q'!P83</f>
        <v>14886473.43</v>
      </c>
      <c r="F206" s="331">
        <f>'C2Q'!Q83</f>
        <v>345887.2</v>
      </c>
      <c r="G206" s="331">
        <f>'C2Q'!R83</f>
        <v>8258517.4699999997</v>
      </c>
      <c r="H206" s="331">
        <f>'C2Q'!S83</f>
        <v>11547131.65</v>
      </c>
      <c r="I206" s="85">
        <f t="shared" si="38"/>
        <v>-3288614.1800000006</v>
      </c>
      <c r="J206" s="326">
        <f t="shared" si="34"/>
        <v>-0.28479922804032465</v>
      </c>
      <c r="K206" s="332">
        <f>'C2Q'!V83</f>
        <v>14886473.43</v>
      </c>
      <c r="L206" s="21"/>
    </row>
    <row r="207" spans="1:12" s="285" customFormat="1" x14ac:dyDescent="0.25">
      <c r="A207" s="330" t="str">
        <f t="shared" si="40"/>
        <v>Provincial Planning</v>
      </c>
      <c r="B207" s="198"/>
      <c r="C207" s="366">
        <f>'C2Q'!N84</f>
        <v>0</v>
      </c>
      <c r="D207" s="366">
        <f>'C2Q'!O84</f>
        <v>0</v>
      </c>
      <c r="E207" s="331">
        <f>'C2Q'!P84</f>
        <v>0</v>
      </c>
      <c r="F207" s="331">
        <f>'C2Q'!Q84</f>
        <v>0</v>
      </c>
      <c r="G207" s="331">
        <f>'C2Q'!R84</f>
        <v>0</v>
      </c>
      <c r="H207" s="331">
        <f>'C2Q'!S84</f>
        <v>0</v>
      </c>
      <c r="I207" s="85">
        <f t="shared" si="38"/>
        <v>0</v>
      </c>
      <c r="J207" s="326" t="str">
        <f t="shared" si="34"/>
        <v/>
      </c>
      <c r="K207" s="332">
        <f>'C2Q'!V84</f>
        <v>0</v>
      </c>
      <c r="L207" s="21"/>
    </row>
    <row r="208" spans="1:12" s="285" customFormat="1" x14ac:dyDescent="0.25">
      <c r="A208" s="330" t="str">
        <f t="shared" si="40"/>
        <v>Support to Local Municipalities</v>
      </c>
      <c r="B208" s="198"/>
      <c r="C208" s="366">
        <f>'C2Q'!N85</f>
        <v>0</v>
      </c>
      <c r="D208" s="366">
        <f>'C2Q'!O85</f>
        <v>0</v>
      </c>
      <c r="E208" s="331">
        <f>'C2Q'!P85</f>
        <v>0</v>
      </c>
      <c r="F208" s="331">
        <f>'C2Q'!Q85</f>
        <v>0</v>
      </c>
      <c r="G208" s="331">
        <f>'C2Q'!R85</f>
        <v>0</v>
      </c>
      <c r="H208" s="331">
        <f>'C2Q'!S85</f>
        <v>0</v>
      </c>
      <c r="I208" s="85">
        <f t="shared" si="38"/>
        <v>0</v>
      </c>
      <c r="J208" s="326" t="str">
        <f t="shared" si="34"/>
        <v/>
      </c>
      <c r="K208" s="332">
        <f>'C2Q'!V85</f>
        <v>0</v>
      </c>
      <c r="L208" s="21"/>
    </row>
    <row r="209" spans="1:12" s="285" customFormat="1" x14ac:dyDescent="0.25">
      <c r="A209" s="327" t="str">
        <f t="shared" si="40"/>
        <v>Road transport</v>
      </c>
      <c r="B209" s="198"/>
      <c r="C209" s="210">
        <f t="shared" ref="C209:H209" si="43">SUM(C210:C213)</f>
        <v>305702465.48000002</v>
      </c>
      <c r="D209" s="207">
        <f t="shared" si="43"/>
        <v>309858600</v>
      </c>
      <c r="E209" s="200">
        <f t="shared" si="43"/>
        <v>296594036.44999999</v>
      </c>
      <c r="F209" s="200">
        <f t="shared" si="43"/>
        <v>25164662.109999999</v>
      </c>
      <c r="G209" s="200">
        <f t="shared" si="43"/>
        <v>249957965.20000002</v>
      </c>
      <c r="H209" s="200">
        <f t="shared" si="43"/>
        <v>253953866.47999999</v>
      </c>
      <c r="I209" s="34">
        <f t="shared" ref="I209:I231" si="44">G209-H209</f>
        <v>-3995901.2799999714</v>
      </c>
      <c r="J209" s="326">
        <f t="shared" si="34"/>
        <v>-1.5734752675303987E-2</v>
      </c>
      <c r="K209" s="211">
        <f>SUM(K210:K213)</f>
        <v>296594036.44999999</v>
      </c>
      <c r="L209" s="21"/>
    </row>
    <row r="210" spans="1:12" s="285" customFormat="1" x14ac:dyDescent="0.25">
      <c r="A210" s="330" t="str">
        <f t="shared" si="40"/>
        <v>Public Transport</v>
      </c>
      <c r="B210" s="198"/>
      <c r="C210" s="366">
        <f>'C2Q'!N87</f>
        <v>4585827.6500000004</v>
      </c>
      <c r="D210" s="366">
        <f>'C2Q'!O87</f>
        <v>5470800</v>
      </c>
      <c r="E210" s="331">
        <f>'C2Q'!P87</f>
        <v>5060900</v>
      </c>
      <c r="F210" s="331">
        <f>'C2Q'!Q87</f>
        <v>404338.95</v>
      </c>
      <c r="G210" s="331">
        <f>'C2Q'!R87</f>
        <v>4275865.18</v>
      </c>
      <c r="H210" s="331">
        <f>'C2Q'!S87</f>
        <v>4289896.7699999996</v>
      </c>
      <c r="I210" s="65">
        <f t="shared" si="44"/>
        <v>-14031.589999999851</v>
      </c>
      <c r="J210" s="326">
        <f t="shared" si="34"/>
        <v>-3.270845605918823E-3</v>
      </c>
      <c r="K210" s="332">
        <f>'C2Q'!V87</f>
        <v>5060900</v>
      </c>
      <c r="L210" s="21"/>
    </row>
    <row r="211" spans="1:12" s="285" customFormat="1" x14ac:dyDescent="0.25">
      <c r="A211" s="330" t="str">
        <f t="shared" si="40"/>
        <v>Road and Traffic Regulation</v>
      </c>
      <c r="B211" s="198"/>
      <c r="C211" s="366">
        <f>'C2Q'!N88</f>
        <v>21367645.640000001</v>
      </c>
      <c r="D211" s="366">
        <f>'C2Q'!O88</f>
        <v>22145100</v>
      </c>
      <c r="E211" s="331">
        <f>'C2Q'!P88</f>
        <v>20943749.140000001</v>
      </c>
      <c r="F211" s="331">
        <f>'C2Q'!Q88</f>
        <v>1700451.69</v>
      </c>
      <c r="G211" s="331">
        <f>'C2Q'!R88</f>
        <v>16862900.030000001</v>
      </c>
      <c r="H211" s="331">
        <f>'C2Q'!S88</f>
        <v>17083845.879999999</v>
      </c>
      <c r="I211" s="85">
        <f t="shared" si="44"/>
        <v>-220945.84999999776</v>
      </c>
      <c r="J211" s="326">
        <f t="shared" si="34"/>
        <v>-1.2933027583599214E-2</v>
      </c>
      <c r="K211" s="332">
        <f>'C2Q'!V88</f>
        <v>20943749.140000001</v>
      </c>
      <c r="L211" s="21"/>
    </row>
    <row r="212" spans="1:12" s="285" customFormat="1" x14ac:dyDescent="0.25">
      <c r="A212" s="330" t="str">
        <f t="shared" si="40"/>
        <v>Roads</v>
      </c>
      <c r="B212" s="198"/>
      <c r="C212" s="366">
        <f>'C2Q'!N89</f>
        <v>274217895.52999997</v>
      </c>
      <c r="D212" s="366">
        <f>'C2Q'!O89</f>
        <v>257747200</v>
      </c>
      <c r="E212" s="331">
        <f>'C2Q'!P89</f>
        <v>259323518.41999999</v>
      </c>
      <c r="F212" s="331">
        <f>'C2Q'!Q89</f>
        <v>21582963.66</v>
      </c>
      <c r="G212" s="331">
        <f>'C2Q'!R89</f>
        <v>224475271.30000001</v>
      </c>
      <c r="H212" s="331">
        <f>'C2Q'!S89</f>
        <v>226468628.88</v>
      </c>
      <c r="I212" s="85">
        <f t="shared" si="44"/>
        <v>-1993357.5799999833</v>
      </c>
      <c r="J212" s="326">
        <f t="shared" si="34"/>
        <v>-8.801914816449978E-3</v>
      </c>
      <c r="K212" s="332">
        <f>'C2Q'!V89</f>
        <v>259323518.41999999</v>
      </c>
      <c r="L212" s="21"/>
    </row>
    <row r="213" spans="1:12" s="285" customFormat="1" x14ac:dyDescent="0.25">
      <c r="A213" s="330" t="str">
        <f t="shared" si="40"/>
        <v>Taxi Ranks</v>
      </c>
      <c r="B213" s="198"/>
      <c r="C213" s="366">
        <f>'C2Q'!N90</f>
        <v>5531096.6600000001</v>
      </c>
      <c r="D213" s="366">
        <f>'C2Q'!O90</f>
        <v>24495500</v>
      </c>
      <c r="E213" s="331">
        <f>'C2Q'!P90</f>
        <v>11265868.890000001</v>
      </c>
      <c r="F213" s="331">
        <f>'C2Q'!Q90</f>
        <v>1476907.81</v>
      </c>
      <c r="G213" s="331">
        <f>'C2Q'!R90</f>
        <v>4343928.6900000004</v>
      </c>
      <c r="H213" s="331">
        <f>'C2Q'!S90</f>
        <v>6111494.9500000002</v>
      </c>
      <c r="I213" s="85">
        <f t="shared" si="44"/>
        <v>-1767566.2599999998</v>
      </c>
      <c r="J213" s="326">
        <f t="shared" ref="J213:J248" si="45">IF(H213=0,"",I213/H213)</f>
        <v>-0.28921994936770745</v>
      </c>
      <c r="K213" s="332">
        <f>'C2Q'!V90</f>
        <v>11265868.890000001</v>
      </c>
      <c r="L213" s="21"/>
    </row>
    <row r="214" spans="1:12" s="285" customFormat="1" x14ac:dyDescent="0.25">
      <c r="A214" s="327" t="str">
        <f t="shared" si="40"/>
        <v>Environmental protection</v>
      </c>
      <c r="B214" s="198"/>
      <c r="C214" s="210">
        <f t="shared" ref="C214:K214" si="46">SUM(C215:C220)</f>
        <v>5961227.96</v>
      </c>
      <c r="D214" s="207">
        <f t="shared" si="46"/>
        <v>8279000</v>
      </c>
      <c r="E214" s="200">
        <f t="shared" si="46"/>
        <v>13825582.73</v>
      </c>
      <c r="F214" s="200">
        <f t="shared" si="46"/>
        <v>1049108.3400000001</v>
      </c>
      <c r="G214" s="200">
        <f t="shared" si="46"/>
        <v>6484625.54</v>
      </c>
      <c r="H214" s="200">
        <f t="shared" si="46"/>
        <v>6424304.1899999995</v>
      </c>
      <c r="I214" s="85">
        <f t="shared" si="44"/>
        <v>60321.350000000559</v>
      </c>
      <c r="J214" s="326">
        <f t="shared" si="45"/>
        <v>9.3895538280855534E-3</v>
      </c>
      <c r="K214" s="211">
        <f t="shared" si="46"/>
        <v>13825582.73</v>
      </c>
      <c r="L214" s="21"/>
    </row>
    <row r="215" spans="1:12" s="285" customFormat="1" x14ac:dyDescent="0.25">
      <c r="A215" s="330" t="str">
        <f t="shared" si="40"/>
        <v>Biodiversity and Landscape</v>
      </c>
      <c r="B215" s="198"/>
      <c r="C215" s="366">
        <f>'C2Q'!N92</f>
        <v>0</v>
      </c>
      <c r="D215" s="366">
        <f>'C2Q'!O92</f>
        <v>0</v>
      </c>
      <c r="E215" s="331">
        <f>'C2Q'!P92</f>
        <v>0</v>
      </c>
      <c r="F215" s="331">
        <f>'C2Q'!Q92</f>
        <v>0</v>
      </c>
      <c r="G215" s="331">
        <f>'C2Q'!R92</f>
        <v>0</v>
      </c>
      <c r="H215" s="331">
        <f>'C2Q'!S92</f>
        <v>0</v>
      </c>
      <c r="I215" s="85">
        <f t="shared" si="44"/>
        <v>0</v>
      </c>
      <c r="J215" s="326" t="str">
        <f t="shared" si="45"/>
        <v/>
      </c>
      <c r="K215" s="332">
        <f>'C2Q'!V92</f>
        <v>0</v>
      </c>
      <c r="L215" s="21"/>
    </row>
    <row r="216" spans="1:12" s="285" customFormat="1" x14ac:dyDescent="0.25">
      <c r="A216" s="330" t="str">
        <f t="shared" si="40"/>
        <v>Coastal Protection</v>
      </c>
      <c r="B216" s="198"/>
      <c r="C216" s="366">
        <f>'C2Q'!N93</f>
        <v>31600</v>
      </c>
      <c r="D216" s="366">
        <f>'C2Q'!O93</f>
        <v>4900</v>
      </c>
      <c r="E216" s="331">
        <f>'C2Q'!P93</f>
        <v>6804700</v>
      </c>
      <c r="F216" s="331">
        <f>'C2Q'!Q93</f>
        <v>583732.67000000004</v>
      </c>
      <c r="G216" s="331">
        <f>'C2Q'!R93</f>
        <v>1861238.7</v>
      </c>
      <c r="H216" s="331">
        <f>'C2Q'!S93</f>
        <v>915379.19</v>
      </c>
      <c r="I216" s="85">
        <f t="shared" si="44"/>
        <v>945859.51</v>
      </c>
      <c r="J216" s="326">
        <f t="shared" si="45"/>
        <v>1.0332980259251907</v>
      </c>
      <c r="K216" s="332">
        <f>'C2Q'!V93</f>
        <v>6804700</v>
      </c>
      <c r="L216" s="21"/>
    </row>
    <row r="217" spans="1:12" s="285" customFormat="1" x14ac:dyDescent="0.25">
      <c r="A217" s="330" t="str">
        <f t="shared" si="40"/>
        <v>Indigenous Forests</v>
      </c>
      <c r="B217" s="198"/>
      <c r="C217" s="366">
        <f>'C2Q'!N94</f>
        <v>0</v>
      </c>
      <c r="D217" s="366">
        <f>'C2Q'!O94</f>
        <v>0</v>
      </c>
      <c r="E217" s="331">
        <f>'C2Q'!P94</f>
        <v>0</v>
      </c>
      <c r="F217" s="331">
        <f>'C2Q'!Q94</f>
        <v>0</v>
      </c>
      <c r="G217" s="331">
        <f>'C2Q'!R94</f>
        <v>0</v>
      </c>
      <c r="H217" s="331">
        <f>'C2Q'!S94</f>
        <v>0</v>
      </c>
      <c r="I217" s="85">
        <f t="shared" si="44"/>
        <v>0</v>
      </c>
      <c r="J217" s="326" t="str">
        <f t="shared" si="45"/>
        <v/>
      </c>
      <c r="K217" s="332">
        <f>'C2Q'!V94</f>
        <v>0</v>
      </c>
      <c r="L217" s="21"/>
    </row>
    <row r="218" spans="1:12" s="285" customFormat="1" x14ac:dyDescent="0.25">
      <c r="A218" s="330" t="str">
        <f t="shared" si="40"/>
        <v>Nature Conservation</v>
      </c>
      <c r="B218" s="198"/>
      <c r="C218" s="366">
        <f>'C2Q'!N95</f>
        <v>0</v>
      </c>
      <c r="D218" s="366">
        <f>'C2Q'!O95</f>
        <v>0</v>
      </c>
      <c r="E218" s="331">
        <f>'C2Q'!P95</f>
        <v>0</v>
      </c>
      <c r="F218" s="331">
        <f>'C2Q'!Q95</f>
        <v>0</v>
      </c>
      <c r="G218" s="331">
        <f>'C2Q'!R95</f>
        <v>0</v>
      </c>
      <c r="H218" s="331">
        <f>'C2Q'!S95</f>
        <v>0</v>
      </c>
      <c r="I218" s="85">
        <f t="shared" si="44"/>
        <v>0</v>
      </c>
      <c r="J218" s="326" t="str">
        <f t="shared" si="45"/>
        <v/>
      </c>
      <c r="K218" s="332">
        <f>'C2Q'!V95</f>
        <v>0</v>
      </c>
      <c r="L218" s="21"/>
    </row>
    <row r="219" spans="1:12" s="285" customFormat="1" x14ac:dyDescent="0.25">
      <c r="A219" s="330" t="str">
        <f t="shared" si="40"/>
        <v>Pollution Control</v>
      </c>
      <c r="B219" s="198"/>
      <c r="C219" s="366">
        <f>'C2Q'!N96</f>
        <v>5929627.96</v>
      </c>
      <c r="D219" s="366">
        <f>'C2Q'!O96</f>
        <v>8274100</v>
      </c>
      <c r="E219" s="331">
        <f>'C2Q'!P96</f>
        <v>7020882.7300000004</v>
      </c>
      <c r="F219" s="331">
        <f>'C2Q'!Q96</f>
        <v>465375.67</v>
      </c>
      <c r="G219" s="331">
        <f>'C2Q'!R96</f>
        <v>4623386.84</v>
      </c>
      <c r="H219" s="331">
        <f>'C2Q'!S96</f>
        <v>5508925</v>
      </c>
      <c r="I219" s="85">
        <f t="shared" si="44"/>
        <v>-885538.16000000015</v>
      </c>
      <c r="J219" s="326">
        <f t="shared" si="45"/>
        <v>-0.16074609111578034</v>
      </c>
      <c r="K219" s="332">
        <f>'C2Q'!V96</f>
        <v>7020882.7300000004</v>
      </c>
      <c r="L219" s="21"/>
    </row>
    <row r="220" spans="1:12" s="285" customFormat="1" x14ac:dyDescent="0.25">
      <c r="A220" s="330" t="str">
        <f t="shared" si="40"/>
        <v>Soil Conservation</v>
      </c>
      <c r="B220" s="198"/>
      <c r="C220" s="366">
        <f>'C2Q'!N97</f>
        <v>0</v>
      </c>
      <c r="D220" s="366">
        <f>'C2Q'!O97</f>
        <v>0</v>
      </c>
      <c r="E220" s="331">
        <f>'C2Q'!P97</f>
        <v>0</v>
      </c>
      <c r="F220" s="331">
        <f>'C2Q'!Q97</f>
        <v>0</v>
      </c>
      <c r="G220" s="331">
        <f>'C2Q'!R97</f>
        <v>0</v>
      </c>
      <c r="H220" s="331">
        <f>'C2Q'!S97</f>
        <v>0</v>
      </c>
      <c r="I220" s="85">
        <f t="shared" si="44"/>
        <v>0</v>
      </c>
      <c r="J220" s="326" t="str">
        <f t="shared" si="45"/>
        <v/>
      </c>
      <c r="K220" s="332">
        <f>'C2Q'!V97</f>
        <v>0</v>
      </c>
      <c r="L220" s="21"/>
    </row>
    <row r="221" spans="1:12" s="285" customFormat="1" x14ac:dyDescent="0.25">
      <c r="A221" s="311" t="str">
        <f t="shared" si="40"/>
        <v>Trading services</v>
      </c>
      <c r="B221" s="198"/>
      <c r="C221" s="591">
        <f>C222+C226+C230+C235</f>
        <v>3706098969.2799997</v>
      </c>
      <c r="D221" s="53">
        <f t="shared" ref="D221:H221" si="47">D222+D226+D230+D235</f>
        <v>4212323900</v>
      </c>
      <c r="E221" s="52">
        <f t="shared" si="47"/>
        <v>4135834516.4700003</v>
      </c>
      <c r="F221" s="52">
        <f t="shared" si="47"/>
        <v>279591909.90999997</v>
      </c>
      <c r="G221" s="52">
        <f t="shared" si="47"/>
        <v>3451844410.23</v>
      </c>
      <c r="H221" s="52">
        <f t="shared" si="47"/>
        <v>3452668923.71</v>
      </c>
      <c r="I221" s="85">
        <f t="shared" si="44"/>
        <v>-824513.48000001907</v>
      </c>
      <c r="J221" s="326">
        <f t="shared" si="45"/>
        <v>-2.3880467493942446E-4</v>
      </c>
      <c r="K221" s="79">
        <f>K222+K226+K230+K235</f>
        <v>4135834516.4700003</v>
      </c>
      <c r="L221" s="21"/>
    </row>
    <row r="222" spans="1:12" s="285" customFormat="1" x14ac:dyDescent="0.25">
      <c r="A222" s="327" t="str">
        <f t="shared" si="40"/>
        <v>Energy sources</v>
      </c>
      <c r="B222" s="198"/>
      <c r="C222" s="210">
        <f t="shared" ref="C222:K222" si="48">SUM(C223:C225)</f>
        <v>1891890496.0599999</v>
      </c>
      <c r="D222" s="207">
        <f t="shared" si="48"/>
        <v>2373236500</v>
      </c>
      <c r="E222" s="200">
        <f t="shared" si="48"/>
        <v>2309105195.4700003</v>
      </c>
      <c r="F222" s="200">
        <f t="shared" si="48"/>
        <v>157148304.75</v>
      </c>
      <c r="G222" s="200">
        <f t="shared" si="48"/>
        <v>1906294771.71</v>
      </c>
      <c r="H222" s="200">
        <f t="shared" si="48"/>
        <v>1910260572.5699999</v>
      </c>
      <c r="I222" s="85">
        <f t="shared" si="44"/>
        <v>-3965800.8599998951</v>
      </c>
      <c r="J222" s="326">
        <f t="shared" si="45"/>
        <v>-2.0760523024691028E-3</v>
      </c>
      <c r="K222" s="211">
        <f t="shared" si="48"/>
        <v>2309105195.4700003</v>
      </c>
      <c r="L222" s="21"/>
    </row>
    <row r="223" spans="1:12" s="285" customFormat="1" x14ac:dyDescent="0.25">
      <c r="A223" s="330" t="str">
        <f t="shared" si="40"/>
        <v xml:space="preserve">Electricity </v>
      </c>
      <c r="B223" s="198"/>
      <c r="C223" s="366">
        <f>'C2Q'!N100</f>
        <v>1834745153.72</v>
      </c>
      <c r="D223" s="366">
        <f>'C2Q'!O100</f>
        <v>2302274400</v>
      </c>
      <c r="E223" s="331">
        <f>'C2Q'!P100</f>
        <v>2240505677.6900001</v>
      </c>
      <c r="F223" s="331">
        <f>'C2Q'!Q100</f>
        <v>151294064.84999999</v>
      </c>
      <c r="G223" s="331">
        <f>'C2Q'!R100</f>
        <v>1854941963.8099999</v>
      </c>
      <c r="H223" s="331">
        <f>'C2Q'!S100</f>
        <v>1855429676.28</v>
      </c>
      <c r="I223" s="85">
        <f t="shared" si="44"/>
        <v>-487712.47000002861</v>
      </c>
      <c r="J223" s="326">
        <f t="shared" si="45"/>
        <v>-2.6285688767135396E-4</v>
      </c>
      <c r="K223" s="332">
        <f>'C2Q'!V100</f>
        <v>2240505677.6900001</v>
      </c>
      <c r="L223" s="21"/>
    </row>
    <row r="224" spans="1:12" s="285" customFormat="1" x14ac:dyDescent="0.25">
      <c r="A224" s="330" t="str">
        <f t="shared" si="40"/>
        <v>Street Lighting and Signal Systems</v>
      </c>
      <c r="B224" s="198"/>
      <c r="C224" s="366">
        <f>'C2Q'!N101</f>
        <v>57145342.340000004</v>
      </c>
      <c r="D224" s="366">
        <f>'C2Q'!O101</f>
        <v>70962100</v>
      </c>
      <c r="E224" s="331">
        <f>'C2Q'!P101</f>
        <v>68599517.780000001</v>
      </c>
      <c r="F224" s="331">
        <f>'C2Q'!Q101</f>
        <v>5854239.9000000004</v>
      </c>
      <c r="G224" s="331">
        <f>'C2Q'!R101</f>
        <v>51352807.899999999</v>
      </c>
      <c r="H224" s="331">
        <f>'C2Q'!S101</f>
        <v>54830896.289999999</v>
      </c>
      <c r="I224" s="85">
        <f t="shared" si="44"/>
        <v>-3478088.3900000006</v>
      </c>
      <c r="J224" s="326">
        <f t="shared" si="45"/>
        <v>-6.3433002656101592E-2</v>
      </c>
      <c r="K224" s="332">
        <f>'C2Q'!V101</f>
        <v>68599517.780000001</v>
      </c>
      <c r="L224" s="21"/>
    </row>
    <row r="225" spans="1:12" s="285" customFormat="1" x14ac:dyDescent="0.25">
      <c r="A225" s="330" t="str">
        <f t="shared" si="40"/>
        <v>Nonelectric Energy</v>
      </c>
      <c r="B225" s="198"/>
      <c r="C225" s="366">
        <f>'C2Q'!N102</f>
        <v>0</v>
      </c>
      <c r="D225" s="366">
        <f>'C2Q'!O102</f>
        <v>0</v>
      </c>
      <c r="E225" s="331">
        <f>'C2Q'!P102</f>
        <v>0</v>
      </c>
      <c r="F225" s="331">
        <f>'C2Q'!Q102</f>
        <v>0</v>
      </c>
      <c r="G225" s="331">
        <f>'C2Q'!R102</f>
        <v>0</v>
      </c>
      <c r="H225" s="331">
        <f>'C2Q'!S102</f>
        <v>0</v>
      </c>
      <c r="I225" s="85">
        <f t="shared" si="44"/>
        <v>0</v>
      </c>
      <c r="J225" s="326" t="str">
        <f t="shared" si="45"/>
        <v/>
      </c>
      <c r="K225" s="332">
        <f>'C2Q'!V102</f>
        <v>0</v>
      </c>
      <c r="L225" s="21"/>
    </row>
    <row r="226" spans="1:12" s="285" customFormat="1" x14ac:dyDescent="0.25">
      <c r="A226" s="327" t="str">
        <f t="shared" si="40"/>
        <v>Water management</v>
      </c>
      <c r="B226" s="198"/>
      <c r="C226" s="210">
        <f t="shared" ref="C226:K226" si="49">SUM(C227:C229)</f>
        <v>1286469081.78</v>
      </c>
      <c r="D226" s="207">
        <f t="shared" si="49"/>
        <v>1279646700</v>
      </c>
      <c r="E226" s="200">
        <f t="shared" si="49"/>
        <v>1270749340.3399999</v>
      </c>
      <c r="F226" s="200">
        <f t="shared" si="49"/>
        <v>84821533.879999995</v>
      </c>
      <c r="G226" s="200">
        <f t="shared" si="49"/>
        <v>1102068901.29</v>
      </c>
      <c r="H226" s="200">
        <f t="shared" si="49"/>
        <v>1083511333.5999999</v>
      </c>
      <c r="I226" s="85">
        <f t="shared" si="44"/>
        <v>18557567.690000057</v>
      </c>
      <c r="J226" s="326">
        <f t="shared" si="45"/>
        <v>1.712724834021068E-2</v>
      </c>
      <c r="K226" s="211">
        <f t="shared" si="49"/>
        <v>1270749340.3399999</v>
      </c>
      <c r="L226" s="21"/>
    </row>
    <row r="227" spans="1:12" s="285" customFormat="1" x14ac:dyDescent="0.25">
      <c r="A227" s="330" t="str">
        <f t="shared" si="40"/>
        <v>Water Treatment</v>
      </c>
      <c r="B227" s="198"/>
      <c r="C227" s="366">
        <f>'C2Q'!N104</f>
        <v>-2159984.4500000002</v>
      </c>
      <c r="D227" s="366">
        <f>'C2Q'!O104</f>
        <v>-4873000</v>
      </c>
      <c r="E227" s="331">
        <f>'C2Q'!P104</f>
        <v>-6522173.7699999996</v>
      </c>
      <c r="F227" s="331">
        <f>'C2Q'!Q104</f>
        <v>-1076245.23</v>
      </c>
      <c r="G227" s="331">
        <f>'C2Q'!R104</f>
        <v>-6727519.0099999998</v>
      </c>
      <c r="H227" s="331">
        <f>'C2Q'!S104</f>
        <v>-7046385.4000000004</v>
      </c>
      <c r="I227" s="85">
        <f t="shared" si="44"/>
        <v>318866.3900000006</v>
      </c>
      <c r="J227" s="326">
        <f t="shared" si="45"/>
        <v>-4.5252476539248132E-2</v>
      </c>
      <c r="K227" s="332">
        <f>'C2Q'!V104</f>
        <v>-6522173.7699999996</v>
      </c>
      <c r="L227" s="21"/>
    </row>
    <row r="228" spans="1:12" s="285" customFormat="1" x14ac:dyDescent="0.25">
      <c r="A228" s="330" t="str">
        <f t="shared" si="40"/>
        <v>Water Distribution</v>
      </c>
      <c r="B228" s="198"/>
      <c r="C228" s="366">
        <f>'C2Q'!N105</f>
        <v>1288629066.23</v>
      </c>
      <c r="D228" s="366">
        <f>'C2Q'!O105</f>
        <v>1284519700</v>
      </c>
      <c r="E228" s="331">
        <f>'C2Q'!P105</f>
        <v>1277271514.1099999</v>
      </c>
      <c r="F228" s="331">
        <f>'C2Q'!Q105</f>
        <v>85897779.109999999</v>
      </c>
      <c r="G228" s="331">
        <f>'C2Q'!R105</f>
        <v>1108796420.3</v>
      </c>
      <c r="H228" s="331">
        <f>'C2Q'!S105</f>
        <v>1090557719</v>
      </c>
      <c r="I228" s="85">
        <f t="shared" si="44"/>
        <v>18238701.299999952</v>
      </c>
      <c r="J228" s="326">
        <f t="shared" si="45"/>
        <v>1.6724196236696347E-2</v>
      </c>
      <c r="K228" s="332">
        <f>'C2Q'!V105</f>
        <v>1277271514.1099999</v>
      </c>
      <c r="L228" s="21"/>
    </row>
    <row r="229" spans="1:12" s="285" customFormat="1" x14ac:dyDescent="0.25">
      <c r="A229" s="330" t="str">
        <f t="shared" si="40"/>
        <v>Water Storage</v>
      </c>
      <c r="B229" s="198"/>
      <c r="C229" s="366">
        <f>'C2Q'!N106</f>
        <v>0</v>
      </c>
      <c r="D229" s="366">
        <f>'C2Q'!O106</f>
        <v>0</v>
      </c>
      <c r="E229" s="331">
        <f>'C2Q'!P106</f>
        <v>0</v>
      </c>
      <c r="F229" s="331">
        <f>'C2Q'!Q106</f>
        <v>0</v>
      </c>
      <c r="G229" s="331">
        <f>'C2Q'!R106</f>
        <v>0</v>
      </c>
      <c r="H229" s="331">
        <f>'C2Q'!S106</f>
        <v>0</v>
      </c>
      <c r="I229" s="85">
        <f t="shared" si="44"/>
        <v>0</v>
      </c>
      <c r="J229" s="326" t="str">
        <f t="shared" si="45"/>
        <v/>
      </c>
      <c r="K229" s="332">
        <f>'C2Q'!V106</f>
        <v>0</v>
      </c>
      <c r="L229" s="21"/>
    </row>
    <row r="230" spans="1:12" s="285" customFormat="1" x14ac:dyDescent="0.25">
      <c r="A230" s="327" t="str">
        <f t="shared" si="40"/>
        <v>Waste water management</v>
      </c>
      <c r="B230" s="198"/>
      <c r="C230" s="210">
        <f t="shared" ref="C230:K230" si="50">SUM(C231:C234)</f>
        <v>336417998.94999993</v>
      </c>
      <c r="D230" s="207">
        <f t="shared" si="50"/>
        <v>347627800</v>
      </c>
      <c r="E230" s="200">
        <f t="shared" si="50"/>
        <v>351521681.99000001</v>
      </c>
      <c r="F230" s="200">
        <f t="shared" si="50"/>
        <v>23416977.940000001</v>
      </c>
      <c r="G230" s="200">
        <f t="shared" si="50"/>
        <v>282612635.48000002</v>
      </c>
      <c r="H230" s="200">
        <f t="shared" si="50"/>
        <v>295491976.12</v>
      </c>
      <c r="I230" s="85">
        <f t="shared" si="44"/>
        <v>-12879340.639999986</v>
      </c>
      <c r="J230" s="326">
        <f t="shared" si="45"/>
        <v>-4.3586092621241447E-2</v>
      </c>
      <c r="K230" s="211">
        <f t="shared" si="50"/>
        <v>351521681.99000001</v>
      </c>
      <c r="L230" s="21"/>
    </row>
    <row r="231" spans="1:12" s="285" customFormat="1" x14ac:dyDescent="0.25">
      <c r="A231" s="330" t="str">
        <f t="shared" si="40"/>
        <v>Public Toilets</v>
      </c>
      <c r="B231" s="198"/>
      <c r="C231" s="366">
        <f>'C2Q'!N108</f>
        <v>2066999.92</v>
      </c>
      <c r="D231" s="366">
        <f>'C2Q'!O108</f>
        <v>3405600</v>
      </c>
      <c r="E231" s="331">
        <f>'C2Q'!P108</f>
        <v>3254288.63</v>
      </c>
      <c r="F231" s="331">
        <f>'C2Q'!Q108</f>
        <v>262067.07</v>
      </c>
      <c r="G231" s="331">
        <f>'C2Q'!R108</f>
        <v>2677276.5299999998</v>
      </c>
      <c r="H231" s="331">
        <f>'C2Q'!S108</f>
        <v>2737986.72</v>
      </c>
      <c r="I231" s="85">
        <f t="shared" si="44"/>
        <v>-60710.19000000041</v>
      </c>
      <c r="J231" s="326">
        <f t="shared" si="45"/>
        <v>-2.217329600488362E-2</v>
      </c>
      <c r="K231" s="332">
        <f>'C2Q'!V108</f>
        <v>3254288.63</v>
      </c>
      <c r="L231" s="21"/>
    </row>
    <row r="232" spans="1:12" s="285" customFormat="1" x14ac:dyDescent="0.25">
      <c r="A232" s="330" t="str">
        <f t="shared" si="40"/>
        <v>Sewerage</v>
      </c>
      <c r="B232" s="198"/>
      <c r="C232" s="366">
        <f>'C2Q'!N109</f>
        <v>199308618.81999999</v>
      </c>
      <c r="D232" s="366">
        <f>'C2Q'!O109</f>
        <v>209685000</v>
      </c>
      <c r="E232" s="331">
        <f>'C2Q'!P109</f>
        <v>206964676.47999999</v>
      </c>
      <c r="F232" s="331">
        <f>'C2Q'!Q109</f>
        <v>13009424.550000001</v>
      </c>
      <c r="G232" s="331">
        <f>'C2Q'!R109</f>
        <v>162000324.66</v>
      </c>
      <c r="H232" s="331">
        <f>'C2Q'!S109</f>
        <v>169447089.97999999</v>
      </c>
      <c r="I232" s="85">
        <f t="shared" ref="I232:I246" si="51">G232-H232</f>
        <v>-7446765.3199999928</v>
      </c>
      <c r="J232" s="326">
        <f t="shared" si="45"/>
        <v>-4.3947437048809407E-2</v>
      </c>
      <c r="K232" s="332">
        <f>'C2Q'!V109</f>
        <v>206964676.47999999</v>
      </c>
      <c r="L232" s="21"/>
    </row>
    <row r="233" spans="1:12" s="285" customFormat="1" x14ac:dyDescent="0.25">
      <c r="A233" s="330" t="str">
        <f t="shared" si="40"/>
        <v>Storm Water Management</v>
      </c>
      <c r="B233" s="198"/>
      <c r="C233" s="366">
        <f>'C2Q'!N110</f>
        <v>37737038.799999997</v>
      </c>
      <c r="D233" s="366">
        <f>'C2Q'!O110</f>
        <v>38351000</v>
      </c>
      <c r="E233" s="331">
        <f>'C2Q'!P110</f>
        <v>40266353.18</v>
      </c>
      <c r="F233" s="331">
        <f>'C2Q'!Q110</f>
        <v>2621957.0099999998</v>
      </c>
      <c r="G233" s="331">
        <f>'C2Q'!R110</f>
        <v>33916863.259999998</v>
      </c>
      <c r="H233" s="331">
        <f>'C2Q'!S110</f>
        <v>35604189.789999999</v>
      </c>
      <c r="I233" s="85">
        <f t="shared" si="51"/>
        <v>-1687326.5300000012</v>
      </c>
      <c r="J233" s="326">
        <f t="shared" si="45"/>
        <v>-4.7391235131375282E-2</v>
      </c>
      <c r="K233" s="332">
        <f>'C2Q'!V110</f>
        <v>40266353.18</v>
      </c>
      <c r="L233" s="21"/>
    </row>
    <row r="234" spans="1:12" s="285" customFormat="1" x14ac:dyDescent="0.25">
      <c r="A234" s="330" t="str">
        <f t="shared" si="40"/>
        <v>Waste Water Treatment</v>
      </c>
      <c r="B234" s="198"/>
      <c r="C234" s="366">
        <f>'C2Q'!N111</f>
        <v>97305341.409999996</v>
      </c>
      <c r="D234" s="366">
        <f>'C2Q'!O111</f>
        <v>96186200</v>
      </c>
      <c r="E234" s="331">
        <f>'C2Q'!P111</f>
        <v>101036363.7</v>
      </c>
      <c r="F234" s="331">
        <f>'C2Q'!Q111</f>
        <v>7523529.3099999996</v>
      </c>
      <c r="G234" s="331">
        <f>'C2Q'!R111</f>
        <v>84018171.030000001</v>
      </c>
      <c r="H234" s="331">
        <f>'C2Q'!S111</f>
        <v>87702709.629999995</v>
      </c>
      <c r="I234" s="85">
        <f t="shared" si="51"/>
        <v>-3684538.599999994</v>
      </c>
      <c r="J234" s="326">
        <f t="shared" si="45"/>
        <v>-4.201168487888593E-2</v>
      </c>
      <c r="K234" s="332">
        <f>'C2Q'!V111</f>
        <v>101036363.7</v>
      </c>
      <c r="L234" s="21"/>
    </row>
    <row r="235" spans="1:12" s="285" customFormat="1" x14ac:dyDescent="0.25">
      <c r="A235" s="327" t="str">
        <f t="shared" si="40"/>
        <v>Waste management</v>
      </c>
      <c r="B235" s="198"/>
      <c r="C235" s="210">
        <f t="shared" ref="C235:H235" si="52">SUM(C236:C239)</f>
        <v>191321392.49000001</v>
      </c>
      <c r="D235" s="207">
        <f t="shared" si="52"/>
        <v>211812900</v>
      </c>
      <c r="E235" s="200">
        <f t="shared" si="52"/>
        <v>204458298.66999999</v>
      </c>
      <c r="F235" s="200">
        <f t="shared" si="52"/>
        <v>14205093.34</v>
      </c>
      <c r="G235" s="200">
        <f t="shared" si="52"/>
        <v>160868101.75</v>
      </c>
      <c r="H235" s="200">
        <f t="shared" si="52"/>
        <v>163405041.42000002</v>
      </c>
      <c r="I235" s="85">
        <f t="shared" si="51"/>
        <v>-2536939.6700000167</v>
      </c>
      <c r="J235" s="326">
        <f t="shared" si="45"/>
        <v>-1.5525467561795233E-2</v>
      </c>
      <c r="K235" s="211">
        <f>SUM(K236:K239)</f>
        <v>204458298.66999999</v>
      </c>
      <c r="L235" s="21"/>
    </row>
    <row r="236" spans="1:12" s="285" customFormat="1" x14ac:dyDescent="0.25">
      <c r="A236" s="330" t="str">
        <f t="shared" si="40"/>
        <v>Recycling</v>
      </c>
      <c r="B236" s="198"/>
      <c r="C236" s="366">
        <f>'C2Q'!N113</f>
        <v>0</v>
      </c>
      <c r="D236" s="366">
        <f>'C2Q'!O113</f>
        <v>0</v>
      </c>
      <c r="E236" s="331">
        <f>'C2Q'!P113</f>
        <v>0</v>
      </c>
      <c r="F236" s="331">
        <f>'C2Q'!Q113</f>
        <v>0</v>
      </c>
      <c r="G236" s="331">
        <f>'C2Q'!R113</f>
        <v>0</v>
      </c>
      <c r="H236" s="331">
        <f>'C2Q'!S113</f>
        <v>0</v>
      </c>
      <c r="I236" s="85">
        <f t="shared" si="51"/>
        <v>0</v>
      </c>
      <c r="J236" s="326" t="str">
        <f t="shared" si="45"/>
        <v/>
      </c>
      <c r="K236" s="332">
        <f>'C2Q'!V113</f>
        <v>0</v>
      </c>
      <c r="L236" s="21"/>
    </row>
    <row r="237" spans="1:12" s="285" customFormat="1" x14ac:dyDescent="0.25">
      <c r="A237" s="330" t="str">
        <f t="shared" si="40"/>
        <v>Solid Waste Disposal (Landfill Sites)</v>
      </c>
      <c r="B237" s="198"/>
      <c r="C237" s="366">
        <f>'C2Q'!N114</f>
        <v>0</v>
      </c>
      <c r="D237" s="366">
        <f>'C2Q'!O114</f>
        <v>0</v>
      </c>
      <c r="E237" s="331">
        <f>'C2Q'!P114</f>
        <v>0</v>
      </c>
      <c r="F237" s="331">
        <f>'C2Q'!Q114</f>
        <v>0</v>
      </c>
      <c r="G237" s="331">
        <f>'C2Q'!R114</f>
        <v>0</v>
      </c>
      <c r="H237" s="331">
        <f>'C2Q'!S114</f>
        <v>0</v>
      </c>
      <c r="I237" s="85">
        <f t="shared" si="51"/>
        <v>0</v>
      </c>
      <c r="J237" s="326" t="str">
        <f t="shared" si="45"/>
        <v/>
      </c>
      <c r="K237" s="332">
        <f>'C2Q'!V114</f>
        <v>0</v>
      </c>
      <c r="L237" s="21"/>
    </row>
    <row r="238" spans="1:12" s="285" customFormat="1" x14ac:dyDescent="0.25">
      <c r="A238" s="330" t="str">
        <f t="shared" si="40"/>
        <v>Solid Waste Removal</v>
      </c>
      <c r="B238" s="198"/>
      <c r="C238" s="366">
        <f>'C2Q'!N115</f>
        <v>146131408.72</v>
      </c>
      <c r="D238" s="366">
        <f>'C2Q'!O115</f>
        <v>163661400</v>
      </c>
      <c r="E238" s="331">
        <f>'C2Q'!P115</f>
        <v>156977670.06999999</v>
      </c>
      <c r="F238" s="331">
        <f>'C2Q'!Q115</f>
        <v>11090058.42</v>
      </c>
      <c r="G238" s="331">
        <f>'C2Q'!R115</f>
        <v>126022814.61</v>
      </c>
      <c r="H238" s="331">
        <f>'C2Q'!S115</f>
        <v>127299840.56</v>
      </c>
      <c r="I238" s="85">
        <f t="shared" si="51"/>
        <v>-1277025.950000003</v>
      </c>
      <c r="J238" s="326">
        <f t="shared" si="45"/>
        <v>-1.0031638251723533E-2</v>
      </c>
      <c r="K238" s="332">
        <f>'C2Q'!V115</f>
        <v>156977670.06999999</v>
      </c>
      <c r="L238" s="21"/>
    </row>
    <row r="239" spans="1:12" s="285" customFormat="1" x14ac:dyDescent="0.25">
      <c r="A239" s="330" t="str">
        <f t="shared" si="40"/>
        <v>Street Cleaning</v>
      </c>
      <c r="B239" s="197"/>
      <c r="C239" s="366">
        <f>'C2Q'!N116</f>
        <v>45189983.770000003</v>
      </c>
      <c r="D239" s="366">
        <f>'C2Q'!O116</f>
        <v>48151500</v>
      </c>
      <c r="E239" s="331">
        <f>'C2Q'!P116</f>
        <v>47480628.600000001</v>
      </c>
      <c r="F239" s="331">
        <f>'C2Q'!Q116</f>
        <v>3115034.92</v>
      </c>
      <c r="G239" s="331">
        <f>'C2Q'!R116</f>
        <v>34845287.140000001</v>
      </c>
      <c r="H239" s="331">
        <f>'C2Q'!S116</f>
        <v>36105200.859999999</v>
      </c>
      <c r="I239" s="85">
        <f t="shared" si="51"/>
        <v>-1259913.7199999988</v>
      </c>
      <c r="J239" s="326">
        <f t="shared" si="45"/>
        <v>-3.4895629715103564E-2</v>
      </c>
      <c r="K239" s="332">
        <f>'C2Q'!V116</f>
        <v>47480628.600000001</v>
      </c>
      <c r="L239" s="21"/>
    </row>
    <row r="240" spans="1:12" s="285" customFormat="1" x14ac:dyDescent="0.25">
      <c r="A240" s="311" t="str">
        <f t="shared" si="40"/>
        <v>Other</v>
      </c>
      <c r="B240" s="197"/>
      <c r="C240" s="210">
        <f t="shared" ref="C240:K240" si="53">SUM(C241:C246)</f>
        <v>29409120.779999997</v>
      </c>
      <c r="D240" s="207">
        <f t="shared" si="53"/>
        <v>33299900</v>
      </c>
      <c r="E240" s="200">
        <f t="shared" si="53"/>
        <v>35612790.549999997</v>
      </c>
      <c r="F240" s="200">
        <f t="shared" si="53"/>
        <v>2072927.32</v>
      </c>
      <c r="G240" s="200">
        <f t="shared" si="53"/>
        <v>27401457.41</v>
      </c>
      <c r="H240" s="200">
        <f t="shared" si="53"/>
        <v>29288866.010000002</v>
      </c>
      <c r="I240" s="85">
        <f t="shared" si="51"/>
        <v>-1887408.6000000015</v>
      </c>
      <c r="J240" s="326">
        <f t="shared" si="45"/>
        <v>-6.4441163388012007E-2</v>
      </c>
      <c r="K240" s="211">
        <f t="shared" si="53"/>
        <v>35612790.549999997</v>
      </c>
      <c r="L240" s="21"/>
    </row>
    <row r="241" spans="1:12" s="285" customFormat="1" x14ac:dyDescent="0.25">
      <c r="A241" s="327" t="str">
        <f t="shared" si="40"/>
        <v>Abattoirs</v>
      </c>
      <c r="B241" s="197"/>
      <c r="C241" s="366">
        <f>'C2Q'!N118</f>
        <v>0</v>
      </c>
      <c r="D241" s="366">
        <f>'C2Q'!O118</f>
        <v>0</v>
      </c>
      <c r="E241" s="331">
        <f>'C2Q'!P118</f>
        <v>0</v>
      </c>
      <c r="F241" s="331">
        <f>'C2Q'!Q118</f>
        <v>0</v>
      </c>
      <c r="G241" s="331">
        <f>'C2Q'!R118</f>
        <v>0</v>
      </c>
      <c r="H241" s="331">
        <f>'C2Q'!S118</f>
        <v>0</v>
      </c>
      <c r="I241" s="85">
        <f t="shared" si="51"/>
        <v>0</v>
      </c>
      <c r="J241" s="326" t="str">
        <f t="shared" si="45"/>
        <v/>
      </c>
      <c r="K241" s="332">
        <f>'C2Q'!V118</f>
        <v>0</v>
      </c>
      <c r="L241" s="21"/>
    </row>
    <row r="242" spans="1:12" s="285" customFormat="1" x14ac:dyDescent="0.25">
      <c r="A242" s="327" t="str">
        <f t="shared" si="40"/>
        <v>Air Transport</v>
      </c>
      <c r="B242" s="197"/>
      <c r="C242" s="366">
        <f>'C2Q'!N119</f>
        <v>25038408.289999999</v>
      </c>
      <c r="D242" s="366">
        <f>'C2Q'!O119</f>
        <v>28295000</v>
      </c>
      <c r="E242" s="331">
        <f>'C2Q'!P119</f>
        <v>30625990.539999999</v>
      </c>
      <c r="F242" s="331">
        <f>'C2Q'!Q119</f>
        <v>1681806.06</v>
      </c>
      <c r="G242" s="331">
        <f>'C2Q'!R119</f>
        <v>23402289.760000002</v>
      </c>
      <c r="H242" s="331">
        <f>'C2Q'!S119</f>
        <v>25200758.77</v>
      </c>
      <c r="I242" s="85">
        <f t="shared" si="51"/>
        <v>-1798469.0099999979</v>
      </c>
      <c r="J242" s="326">
        <f t="shared" si="45"/>
        <v>-7.1365669042511848E-2</v>
      </c>
      <c r="K242" s="332">
        <f>'C2Q'!V119</f>
        <v>30625990.539999999</v>
      </c>
      <c r="L242" s="21"/>
    </row>
    <row r="243" spans="1:12" s="285" customFormat="1" x14ac:dyDescent="0.25">
      <c r="A243" s="327" t="str">
        <f t="shared" si="40"/>
        <v xml:space="preserve">Forestry </v>
      </c>
      <c r="B243" s="197"/>
      <c r="C243" s="366">
        <f>'C2Q'!N120</f>
        <v>0</v>
      </c>
      <c r="D243" s="366">
        <f>'C2Q'!O120</f>
        <v>0</v>
      </c>
      <c r="E243" s="331">
        <f>'C2Q'!P120</f>
        <v>0</v>
      </c>
      <c r="F243" s="331">
        <f>'C2Q'!Q120</f>
        <v>0</v>
      </c>
      <c r="G243" s="331">
        <f>'C2Q'!R120</f>
        <v>0</v>
      </c>
      <c r="H243" s="331">
        <f>'C2Q'!S120</f>
        <v>0</v>
      </c>
      <c r="I243" s="85">
        <f t="shared" si="51"/>
        <v>0</v>
      </c>
      <c r="J243" s="326" t="str">
        <f t="shared" si="45"/>
        <v/>
      </c>
      <c r="K243" s="332">
        <f>'C2Q'!V120</f>
        <v>0</v>
      </c>
      <c r="L243" s="21"/>
    </row>
    <row r="244" spans="1:12" s="285" customFormat="1" x14ac:dyDescent="0.25">
      <c r="A244" s="327" t="str">
        <f t="shared" si="40"/>
        <v>Licensing and Regulation</v>
      </c>
      <c r="B244" s="197"/>
      <c r="C244" s="366">
        <f>'C2Q'!N121</f>
        <v>1062292.45</v>
      </c>
      <c r="D244" s="366">
        <f>'C2Q'!O121</f>
        <v>1491500</v>
      </c>
      <c r="E244" s="331">
        <f>'C2Q'!P121</f>
        <v>1454000</v>
      </c>
      <c r="F244" s="331">
        <f>'C2Q'!Q121</f>
        <v>96357.28</v>
      </c>
      <c r="G244" s="331">
        <f>'C2Q'!R121</f>
        <v>1091215.29</v>
      </c>
      <c r="H244" s="331">
        <f>'C2Q'!S121</f>
        <v>1152343.19</v>
      </c>
      <c r="I244" s="85">
        <f t="shared" si="51"/>
        <v>-61127.899999999907</v>
      </c>
      <c r="J244" s="326">
        <f t="shared" si="45"/>
        <v>-5.304661018563394E-2</v>
      </c>
      <c r="K244" s="332">
        <f>'C2Q'!V121</f>
        <v>1454000</v>
      </c>
      <c r="L244" s="21"/>
    </row>
    <row r="245" spans="1:12" s="285" customFormat="1" x14ac:dyDescent="0.25">
      <c r="A245" s="327" t="str">
        <f t="shared" si="40"/>
        <v>Markets</v>
      </c>
      <c r="B245" s="197"/>
      <c r="C245" s="366">
        <f>'C2Q'!N122</f>
        <v>0</v>
      </c>
      <c r="D245" s="366">
        <f>'C2Q'!O122</f>
        <v>0</v>
      </c>
      <c r="E245" s="331">
        <f>'C2Q'!P122</f>
        <v>0</v>
      </c>
      <c r="F245" s="331">
        <f>'C2Q'!Q122</f>
        <v>0</v>
      </c>
      <c r="G245" s="331">
        <f>'C2Q'!R122</f>
        <v>0</v>
      </c>
      <c r="H245" s="331">
        <f>'C2Q'!S122</f>
        <v>0</v>
      </c>
      <c r="I245" s="85">
        <f t="shared" si="51"/>
        <v>0</v>
      </c>
      <c r="J245" s="326" t="str">
        <f t="shared" si="45"/>
        <v/>
      </c>
      <c r="K245" s="332">
        <f>'C2Q'!V122</f>
        <v>0</v>
      </c>
      <c r="L245" s="21"/>
    </row>
    <row r="246" spans="1:12" s="285" customFormat="1" x14ac:dyDescent="0.25">
      <c r="A246" s="327" t="str">
        <f t="shared" si="40"/>
        <v>Tourism</v>
      </c>
      <c r="B246" s="197"/>
      <c r="C246" s="366">
        <f>'C2Q'!N123</f>
        <v>3308420.04</v>
      </c>
      <c r="D246" s="366">
        <f>'C2Q'!O123</f>
        <v>3513400</v>
      </c>
      <c r="E246" s="331">
        <f>'C2Q'!P123</f>
        <v>3532800.01</v>
      </c>
      <c r="F246" s="331">
        <f>'C2Q'!Q123</f>
        <v>294763.98</v>
      </c>
      <c r="G246" s="331">
        <f>'C2Q'!R123</f>
        <v>2907952.36</v>
      </c>
      <c r="H246" s="331">
        <f>'C2Q'!S123</f>
        <v>2935764.05</v>
      </c>
      <c r="I246" s="85">
        <f t="shared" si="51"/>
        <v>-27811.689999999944</v>
      </c>
      <c r="J246" s="326">
        <f t="shared" si="45"/>
        <v>-9.4734077828904362E-3</v>
      </c>
      <c r="K246" s="332">
        <f>'C2Q'!V123</f>
        <v>3532800.01</v>
      </c>
      <c r="L246" s="21"/>
    </row>
    <row r="247" spans="1:12" s="285" customFormat="1" x14ac:dyDescent="0.25">
      <c r="A247" s="59" t="str">
        <f>"Total "&amp;A127</f>
        <v>Total Expenditure - Functional</v>
      </c>
      <c r="B247" s="197">
        <v>3</v>
      </c>
      <c r="C247" s="591">
        <f t="shared" ref="C247:I247" si="54">C128+C148+C197+C221+C240</f>
        <v>5256459078.2799997</v>
      </c>
      <c r="D247" s="53">
        <f t="shared" si="54"/>
        <v>5589918300</v>
      </c>
      <c r="E247" s="52">
        <f t="shared" si="54"/>
        <v>5623917106.250001</v>
      </c>
      <c r="F247" s="52">
        <f t="shared" si="54"/>
        <v>380803362.14999998</v>
      </c>
      <c r="G247" s="52">
        <f t="shared" si="54"/>
        <v>4535002739.8299999</v>
      </c>
      <c r="H247" s="52">
        <f t="shared" si="54"/>
        <v>4582997169.0500002</v>
      </c>
      <c r="I247" s="52">
        <f t="shared" si="54"/>
        <v>-47994429.219999917</v>
      </c>
      <c r="J247" s="326">
        <f t="shared" si="45"/>
        <v>-1.0472279918503328E-2</v>
      </c>
      <c r="K247" s="79">
        <f>K128+K148+K197+K221+K240</f>
        <v>5623917106.250001</v>
      </c>
      <c r="L247" s="21"/>
    </row>
    <row r="248" spans="1:12" s="285" customFormat="1" x14ac:dyDescent="0.25">
      <c r="A248" s="40" t="str">
        <f>result</f>
        <v>Surplus/ (Deficit) for the year</v>
      </c>
      <c r="B248" s="333"/>
      <c r="C248" s="728">
        <f t="shared" ref="C248:H248" si="55">C125-C247</f>
        <v>9550146.2500009537</v>
      </c>
      <c r="D248" s="401">
        <f t="shared" si="55"/>
        <v>228536500</v>
      </c>
      <c r="E248" s="55">
        <f t="shared" si="55"/>
        <v>-58869259.250000954</v>
      </c>
      <c r="F248" s="55">
        <f t="shared" si="55"/>
        <v>5309854.0799999833</v>
      </c>
      <c r="G248" s="55">
        <f t="shared" si="55"/>
        <v>82492701.569999695</v>
      </c>
      <c r="H248" s="55">
        <f t="shared" si="55"/>
        <v>40796831.729999542</v>
      </c>
      <c r="I248" s="55">
        <f>G248-H248</f>
        <v>41695869.840000153</v>
      </c>
      <c r="J248" s="729">
        <f t="shared" si="45"/>
        <v>1.0220369590450209</v>
      </c>
      <c r="K248" s="128">
        <f>K125-K247</f>
        <v>-58869259.250000954</v>
      </c>
      <c r="L248" s="21"/>
    </row>
    <row r="249" spans="1:12" s="285" customFormat="1" x14ac:dyDescent="0.25">
      <c r="A249" s="313" t="str">
        <f>head27a</f>
        <v>References</v>
      </c>
      <c r="B249" s="44"/>
      <c r="C249" s="314"/>
      <c r="D249" s="314"/>
      <c r="E249" s="314"/>
      <c r="F249" s="314"/>
      <c r="G249" s="314"/>
      <c r="H249" s="314"/>
      <c r="I249" s="314"/>
      <c r="J249" s="314"/>
      <c r="K249" s="314"/>
      <c r="L249" s="21"/>
    </row>
    <row r="250" spans="1:12" s="285" customFormat="1" x14ac:dyDescent="0.25">
      <c r="A250" s="73" t="s">
        <v>159</v>
      </c>
      <c r="B250" s="44"/>
      <c r="C250" s="334"/>
      <c r="D250" s="334"/>
      <c r="E250" s="314"/>
      <c r="F250" s="314"/>
      <c r="G250" s="314"/>
      <c r="H250" s="314"/>
      <c r="I250" s="314"/>
      <c r="J250" s="314"/>
      <c r="K250" s="314"/>
      <c r="L250" s="21"/>
    </row>
    <row r="251" spans="1:12" s="285" customFormat="1" x14ac:dyDescent="0.25">
      <c r="A251" s="315" t="s">
        <v>1108</v>
      </c>
      <c r="B251" s="44"/>
      <c r="C251" s="334"/>
      <c r="D251" s="334"/>
      <c r="E251" s="314"/>
      <c r="F251" s="314"/>
      <c r="G251" s="314"/>
      <c r="H251" s="314"/>
      <c r="I251" s="314"/>
      <c r="J251" s="314"/>
      <c r="K251" s="314"/>
      <c r="L251" s="21"/>
    </row>
    <row r="252" spans="1:12" s="285" customFormat="1" x14ac:dyDescent="0.25">
      <c r="A252" s="73" t="s">
        <v>1109</v>
      </c>
      <c r="B252" s="44"/>
      <c r="C252" s="334"/>
      <c r="D252" s="334"/>
      <c r="E252" s="314"/>
      <c r="F252" s="314"/>
      <c r="G252" s="314"/>
      <c r="H252" s="314"/>
      <c r="I252" s="314"/>
      <c r="J252" s="314"/>
      <c r="K252" s="314"/>
      <c r="L252" s="21"/>
    </row>
    <row r="253" spans="1:12" s="285" customFormat="1" ht="26.1" customHeight="1" x14ac:dyDescent="0.25">
      <c r="A253" s="840" t="s">
        <v>1110</v>
      </c>
      <c r="B253" s="840"/>
      <c r="C253" s="840"/>
      <c r="D253" s="840"/>
      <c r="E253" s="840"/>
      <c r="F253" s="840"/>
      <c r="G253" s="840"/>
      <c r="H253" s="840"/>
      <c r="I253" s="840"/>
      <c r="J253" s="840"/>
      <c r="K253" s="840"/>
      <c r="L253" s="21"/>
    </row>
    <row r="254" spans="1:12" s="285" customFormat="1" x14ac:dyDescent="0.25">
      <c r="A254" s="21"/>
      <c r="B254" s="47"/>
      <c r="C254" s="43"/>
      <c r="D254" s="43"/>
      <c r="E254" s="316"/>
      <c r="F254" s="316"/>
      <c r="G254" s="316"/>
      <c r="H254" s="316"/>
      <c r="I254" s="316"/>
      <c r="J254" s="316"/>
      <c r="K254" s="316"/>
      <c r="L254" s="21"/>
    </row>
    <row r="255" spans="1:12" s="285" customFormat="1" x14ac:dyDescent="0.25">
      <c r="A255" s="21"/>
      <c r="B255" s="47"/>
      <c r="C255" s="43"/>
      <c r="D255" s="43"/>
      <c r="E255" s="316"/>
      <c r="F255" s="316"/>
      <c r="G255" s="316"/>
      <c r="H255" s="316"/>
      <c r="I255" s="316"/>
      <c r="J255" s="316"/>
      <c r="K255" s="316"/>
      <c r="L255" s="21"/>
    </row>
    <row r="256" spans="1:12" s="285" customFormat="1" x14ac:dyDescent="0.25">
      <c r="A256" s="56" t="s">
        <v>160</v>
      </c>
      <c r="B256" s="44"/>
      <c r="C256" s="335">
        <f>C125-'C4-FinPerf RE'!C65</f>
        <v>0</v>
      </c>
      <c r="D256" s="335">
        <f>D125-'C4-FinPerf RE'!D65</f>
        <v>0</v>
      </c>
      <c r="E256" s="335">
        <f>E125-'C4-FinPerf RE'!E65</f>
        <v>0</v>
      </c>
      <c r="F256" s="335">
        <f>F125-'C4-FinPerf RE'!F65</f>
        <v>0</v>
      </c>
      <c r="G256" s="335">
        <f>G125-'C4-FinPerf RE'!G65</f>
        <v>0</v>
      </c>
      <c r="H256" s="335">
        <f>H125-'C4-FinPerf RE'!H65</f>
        <v>0</v>
      </c>
      <c r="I256" s="335">
        <f>I125-'C4-FinPerf RE'!I65</f>
        <v>-9.5367431640625E-7</v>
      </c>
      <c r="J256" s="336"/>
      <c r="K256" s="335">
        <f>K125-'C4-FinPerf RE'!K65</f>
        <v>0</v>
      </c>
      <c r="L256" s="21"/>
    </row>
    <row r="257" spans="1:12" s="285" customFormat="1" x14ac:dyDescent="0.25">
      <c r="A257" s="56" t="s">
        <v>161</v>
      </c>
      <c r="B257" s="44"/>
      <c r="C257" s="335">
        <f>C247-'C4-FinPerf RE'!C48</f>
        <v>0</v>
      </c>
      <c r="D257" s="335">
        <f>D247-'C4-FinPerf RE'!D48</f>
        <v>0</v>
      </c>
      <c r="E257" s="335">
        <f>E247-'C4-FinPerf RE'!E48</f>
        <v>0</v>
      </c>
      <c r="F257" s="335">
        <f>F247-'C4-FinPerf RE'!F48</f>
        <v>0</v>
      </c>
      <c r="G257" s="335">
        <f>G247-'C4-FinPerf RE'!G48</f>
        <v>0</v>
      </c>
      <c r="H257" s="335">
        <f>H247-'C4-FinPerf RE'!H48</f>
        <v>0</v>
      </c>
      <c r="I257" s="335">
        <f>I247-'C4-FinPerf RE'!I48</f>
        <v>-6.0349702835083008E-7</v>
      </c>
      <c r="J257" s="336"/>
      <c r="K257" s="335">
        <f>K247-'C4-FinPerf RE'!K48</f>
        <v>0</v>
      </c>
      <c r="L257" s="21"/>
    </row>
    <row r="258" spans="1:12" s="285" customFormat="1" x14ac:dyDescent="0.25">
      <c r="A258" s="21"/>
      <c r="B258" s="47"/>
      <c r="C258" s="21"/>
      <c r="D258" s="21"/>
      <c r="E258" s="21"/>
      <c r="F258" s="21"/>
      <c r="G258" s="21"/>
      <c r="H258" s="21"/>
      <c r="I258" s="21"/>
      <c r="J258" s="21"/>
      <c r="K258" s="21"/>
      <c r="L258" s="21"/>
    </row>
    <row r="261" spans="1:12" x14ac:dyDescent="0.25">
      <c r="E261" s="33"/>
    </row>
  </sheetData>
  <mergeCells count="4">
    <mergeCell ref="A253:K253"/>
    <mergeCell ref="A1:K1"/>
    <mergeCell ref="A2:A3"/>
    <mergeCell ref="B2:B3"/>
  </mergeCells>
  <phoneticPr fontId="2" type="noConversion"/>
  <pageMargins left="1.1417322834645669" right="0.74803149606299213" top="0.98425196850393704" bottom="0.98425196850393704" header="0.51181102362204722" footer="0.51181102362204722"/>
  <pageSetup paperSize="8" scale="85" orientation="portrait" r:id="rId1"/>
  <headerFooter alignWithMargins="0">
    <oddFooter>&amp;L&amp;F&amp;C&amp;A&amp;R&amp;D</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V124"/>
  <sheetViews>
    <sheetView topLeftCell="A97" workbookViewId="0">
      <selection activeCell="H68" sqref="A68:XFD68"/>
    </sheetView>
  </sheetViews>
  <sheetFormatPr defaultRowHeight="12.75" x14ac:dyDescent="0.2"/>
  <cols>
    <col min="1" max="1" width="57.85546875" customWidth="1"/>
    <col min="2" max="2" width="15" customWidth="1"/>
    <col min="3" max="3" width="13.5703125" customWidth="1"/>
    <col min="4" max="4" width="14.28515625" customWidth="1"/>
    <col min="5" max="5" width="13.7109375" customWidth="1"/>
    <col min="6" max="6" width="17.85546875" customWidth="1"/>
    <col min="7" max="7" width="17.7109375" customWidth="1"/>
    <col min="8" max="8" width="12.42578125" customWidth="1"/>
    <col min="9" max="9" width="19.7109375" customWidth="1"/>
    <col min="10" max="10" width="16" customWidth="1"/>
    <col min="13" max="13" width="57.85546875" customWidth="1"/>
    <col min="14" max="14" width="15" customWidth="1"/>
    <col min="15" max="15" width="13.5703125" customWidth="1"/>
    <col min="16" max="16" width="14.28515625" customWidth="1"/>
    <col min="17" max="17" width="13.7109375" customWidth="1"/>
    <col min="18" max="18" width="17.85546875" customWidth="1"/>
    <col min="19" max="19" width="17.7109375" customWidth="1"/>
    <col min="20" max="20" width="12.42578125" customWidth="1"/>
    <col min="21" max="21" width="19.7109375" customWidth="1"/>
    <col min="22" max="22" width="16" customWidth="1"/>
  </cols>
  <sheetData>
    <row r="1" spans="1:22" x14ac:dyDescent="0.2">
      <c r="A1" s="285" t="s">
        <v>1767</v>
      </c>
      <c r="M1" s="285" t="s">
        <v>1768</v>
      </c>
    </row>
    <row r="2" spans="1:22" x14ac:dyDescent="0.2">
      <c r="A2" s="659" t="s">
        <v>973</v>
      </c>
      <c r="B2" s="660" t="s">
        <v>471</v>
      </c>
      <c r="C2" s="660" t="s">
        <v>558</v>
      </c>
      <c r="D2" s="660" t="s">
        <v>773</v>
      </c>
      <c r="E2" s="660" t="s">
        <v>1545</v>
      </c>
      <c r="F2" s="660" t="s">
        <v>1546</v>
      </c>
      <c r="G2" s="660" t="s">
        <v>1547</v>
      </c>
      <c r="H2" s="660" t="s">
        <v>1548</v>
      </c>
      <c r="I2" s="660" t="s">
        <v>1549</v>
      </c>
      <c r="J2" s="660" t="s">
        <v>774</v>
      </c>
      <c r="M2" s="659" t="s">
        <v>973</v>
      </c>
      <c r="N2" s="660" t="s">
        <v>471</v>
      </c>
      <c r="O2" s="660" t="s">
        <v>558</v>
      </c>
      <c r="P2" s="660" t="s">
        <v>773</v>
      </c>
      <c r="Q2" s="660" t="s">
        <v>1545</v>
      </c>
      <c r="R2" s="660" t="s">
        <v>1546</v>
      </c>
      <c r="S2" s="660" t="s">
        <v>1547</v>
      </c>
      <c r="T2" s="660" t="s">
        <v>1548</v>
      </c>
      <c r="U2" s="660" t="s">
        <v>1549</v>
      </c>
      <c r="V2" s="660" t="s">
        <v>774</v>
      </c>
    </row>
    <row r="3" spans="1:22" x14ac:dyDescent="0.2">
      <c r="A3" s="659" t="s">
        <v>1574</v>
      </c>
      <c r="B3" s="661" t="s">
        <v>973</v>
      </c>
      <c r="C3" s="661" t="s">
        <v>973</v>
      </c>
      <c r="D3" s="661" t="s">
        <v>973</v>
      </c>
      <c r="E3" s="661" t="s">
        <v>973</v>
      </c>
      <c r="F3" s="661" t="s">
        <v>973</v>
      </c>
      <c r="G3" s="661" t="s">
        <v>973</v>
      </c>
      <c r="H3" s="661" t="s">
        <v>973</v>
      </c>
      <c r="I3" s="661" t="s">
        <v>528</v>
      </c>
      <c r="J3" s="661" t="s">
        <v>973</v>
      </c>
      <c r="M3" s="659" t="s">
        <v>1574</v>
      </c>
      <c r="N3" s="661" t="s">
        <v>973</v>
      </c>
      <c r="O3" s="661" t="s">
        <v>973</v>
      </c>
      <c r="P3" s="661" t="s">
        <v>973</v>
      </c>
      <c r="Q3" s="661" t="s">
        <v>973</v>
      </c>
      <c r="R3" s="661" t="s">
        <v>973</v>
      </c>
      <c r="S3" s="661" t="s">
        <v>973</v>
      </c>
      <c r="T3" s="661" t="s">
        <v>973</v>
      </c>
      <c r="U3" s="661" t="s">
        <v>528</v>
      </c>
      <c r="V3" s="661" t="s">
        <v>973</v>
      </c>
    </row>
    <row r="4" spans="1:22" x14ac:dyDescent="0.2">
      <c r="A4" s="638" t="s">
        <v>1575</v>
      </c>
      <c r="B4" s="637"/>
      <c r="C4" s="637"/>
      <c r="D4" s="637"/>
      <c r="E4" s="637"/>
      <c r="F4" s="637"/>
      <c r="G4" s="637"/>
      <c r="H4" s="637"/>
      <c r="I4" s="637"/>
      <c r="J4" s="637"/>
      <c r="M4" s="638" t="s">
        <v>1575</v>
      </c>
      <c r="N4" s="637"/>
      <c r="O4" s="637"/>
      <c r="P4" s="637"/>
      <c r="Q4" s="637"/>
      <c r="R4" s="637"/>
      <c r="S4" s="637"/>
      <c r="T4" s="637"/>
      <c r="U4" s="637"/>
      <c r="V4" s="637"/>
    </row>
    <row r="5" spans="1:22" x14ac:dyDescent="0.2">
      <c r="A5" s="639" t="s">
        <v>141</v>
      </c>
      <c r="B5" s="637">
        <v>-954040458.05999994</v>
      </c>
      <c r="C5" s="637">
        <v>-1071137500</v>
      </c>
      <c r="D5" s="637">
        <v>-1074937347</v>
      </c>
      <c r="E5" s="637">
        <v>-65501293.950000003</v>
      </c>
      <c r="F5" s="637">
        <v>-922879677.04999995</v>
      </c>
      <c r="G5" s="637">
        <v>-931283702.07000005</v>
      </c>
      <c r="H5" s="637">
        <v>-8404025.0199999996</v>
      </c>
      <c r="I5" s="637">
        <v>651.38423044343904</v>
      </c>
      <c r="J5" s="637">
        <v>-1074937347</v>
      </c>
      <c r="M5" s="639" t="s">
        <v>141</v>
      </c>
      <c r="N5" s="637">
        <v>282634299.5</v>
      </c>
      <c r="O5" s="637">
        <v>223892900</v>
      </c>
      <c r="P5" s="637">
        <v>333218004.00999999</v>
      </c>
      <c r="Q5" s="637">
        <v>17688887.359999999</v>
      </c>
      <c r="R5" s="637">
        <v>227808870.59</v>
      </c>
      <c r="S5" s="637">
        <v>234735471.18000001</v>
      </c>
      <c r="T5" s="637">
        <v>6926600.5899999999</v>
      </c>
      <c r="U5" s="637">
        <v>2.9508112068365402</v>
      </c>
      <c r="V5" s="637">
        <v>333218004.00999999</v>
      </c>
    </row>
    <row r="6" spans="1:22" x14ac:dyDescent="0.2">
      <c r="A6" s="640" t="s">
        <v>91</v>
      </c>
      <c r="B6" s="637">
        <v>-1399221.37</v>
      </c>
      <c r="C6" s="637">
        <v>-805200</v>
      </c>
      <c r="D6" s="637">
        <v>-806000</v>
      </c>
      <c r="E6" s="637">
        <v>-104079.02</v>
      </c>
      <c r="F6" s="637">
        <v>-1568720.01</v>
      </c>
      <c r="G6" s="637">
        <v>-1532062.68</v>
      </c>
      <c r="H6" s="637">
        <v>36657.33</v>
      </c>
      <c r="I6" s="637">
        <v>2.66062880097956</v>
      </c>
      <c r="J6" s="637">
        <v>-806000</v>
      </c>
      <c r="M6" s="640" t="s">
        <v>91</v>
      </c>
      <c r="N6" s="637">
        <v>29662665.91</v>
      </c>
      <c r="O6" s="637">
        <v>49014500</v>
      </c>
      <c r="P6" s="637">
        <v>59087425.399999999</v>
      </c>
      <c r="Q6" s="637">
        <v>659714.38</v>
      </c>
      <c r="R6" s="637">
        <v>29901701.77</v>
      </c>
      <c r="S6" s="637">
        <v>42724434.020000003</v>
      </c>
      <c r="T6" s="637">
        <v>12822732.25</v>
      </c>
      <c r="U6" s="637">
        <v>30.0126439217368</v>
      </c>
      <c r="V6" s="637">
        <v>59087425.399999999</v>
      </c>
    </row>
    <row r="7" spans="1:22" x14ac:dyDescent="0.2">
      <c r="A7" s="641" t="s">
        <v>142</v>
      </c>
      <c r="B7" s="637">
        <v>-851614.37</v>
      </c>
      <c r="C7" s="637">
        <v>-532100</v>
      </c>
      <c r="D7" s="637">
        <v>-532100</v>
      </c>
      <c r="E7" s="637">
        <v>-81314.27</v>
      </c>
      <c r="F7" s="637">
        <v>-1341156.8500000001</v>
      </c>
      <c r="G7" s="637">
        <v>-1304084.18</v>
      </c>
      <c r="H7" s="637">
        <v>37072.67</v>
      </c>
      <c r="I7" s="637">
        <v>2.84281264726331</v>
      </c>
      <c r="J7" s="637">
        <v>-532100</v>
      </c>
      <c r="M7" s="641" t="s">
        <v>142</v>
      </c>
      <c r="N7" s="637">
        <v>-8448665.3800000008</v>
      </c>
      <c r="O7" s="637">
        <v>1530100</v>
      </c>
      <c r="P7" s="637">
        <v>14229150.43</v>
      </c>
      <c r="Q7" s="637">
        <v>-2762426.8</v>
      </c>
      <c r="R7" s="637">
        <v>-3670746.98</v>
      </c>
      <c r="S7" s="637">
        <v>7373250</v>
      </c>
      <c r="T7" s="637">
        <v>11043996.98</v>
      </c>
      <c r="U7" s="637">
        <v>149.78465371444099</v>
      </c>
      <c r="V7" s="637">
        <v>14229150.43</v>
      </c>
    </row>
    <row r="8" spans="1:22" x14ac:dyDescent="0.2">
      <c r="A8" s="641" t="s">
        <v>1025</v>
      </c>
      <c r="B8" s="637">
        <v>-547607</v>
      </c>
      <c r="C8" s="637">
        <v>-273100</v>
      </c>
      <c r="D8" s="637">
        <v>-273900</v>
      </c>
      <c r="E8" s="637">
        <v>-22764.75</v>
      </c>
      <c r="F8" s="637">
        <v>-227563.16</v>
      </c>
      <c r="G8" s="637">
        <v>-227978.5</v>
      </c>
      <c r="H8" s="637">
        <v>-415.34</v>
      </c>
      <c r="I8" s="637">
        <v>-0.18218384628375001</v>
      </c>
      <c r="J8" s="637">
        <v>-273900</v>
      </c>
      <c r="M8" s="641" t="s">
        <v>1025</v>
      </c>
      <c r="N8" s="637">
        <v>38111331.289999999</v>
      </c>
      <c r="O8" s="637">
        <v>47484400</v>
      </c>
      <c r="P8" s="637">
        <v>44858274.969999999</v>
      </c>
      <c r="Q8" s="637">
        <v>3422141.18</v>
      </c>
      <c r="R8" s="637">
        <v>33572448.75</v>
      </c>
      <c r="S8" s="637">
        <v>35351184.020000003</v>
      </c>
      <c r="T8" s="637">
        <v>1778735.27</v>
      </c>
      <c r="U8" s="637">
        <v>5.0316144121047701</v>
      </c>
      <c r="V8" s="637">
        <v>44858274.969999999</v>
      </c>
    </row>
    <row r="9" spans="1:22" x14ac:dyDescent="0.2">
      <c r="A9" s="640" t="s">
        <v>1026</v>
      </c>
      <c r="B9" s="637">
        <v>-952542881.67999995</v>
      </c>
      <c r="C9" s="637">
        <v>-1070304900</v>
      </c>
      <c r="D9" s="637">
        <v>-1074103847</v>
      </c>
      <c r="E9" s="637">
        <v>-65394939.93</v>
      </c>
      <c r="F9" s="637">
        <v>-921288207.03999996</v>
      </c>
      <c r="G9" s="637">
        <v>-929728746.51999998</v>
      </c>
      <c r="H9" s="637">
        <v>-8440539.4800000004</v>
      </c>
      <c r="I9" s="637">
        <v>649.34768241520703</v>
      </c>
      <c r="J9" s="637">
        <v>-1074103847</v>
      </c>
      <c r="M9" s="640" t="s">
        <v>1026</v>
      </c>
      <c r="N9" s="637">
        <v>252620017.33000001</v>
      </c>
      <c r="O9" s="637">
        <v>174702500</v>
      </c>
      <c r="P9" s="637">
        <v>273939078.61000001</v>
      </c>
      <c r="Q9" s="637">
        <v>15568871.220000001</v>
      </c>
      <c r="R9" s="637">
        <v>198877423.94999999</v>
      </c>
      <c r="S9" s="637">
        <v>195975975.84999999</v>
      </c>
      <c r="T9" s="637">
        <v>-2901448.1</v>
      </c>
      <c r="U9" s="637">
        <v>-1.4805121328855</v>
      </c>
      <c r="V9" s="637">
        <v>273939078.61000001</v>
      </c>
    </row>
    <row r="10" spans="1:22" x14ac:dyDescent="0.2">
      <c r="A10" s="641" t="s">
        <v>1027</v>
      </c>
      <c r="B10" s="637">
        <v>-1099019.3400000001</v>
      </c>
      <c r="C10" s="637">
        <v>-532300</v>
      </c>
      <c r="D10" s="637">
        <v>-532300</v>
      </c>
      <c r="E10" s="637">
        <v>-44358.33</v>
      </c>
      <c r="F10" s="637">
        <v>-443583.3</v>
      </c>
      <c r="G10" s="637">
        <v>-443583.33</v>
      </c>
      <c r="H10" s="637">
        <v>-0.03</v>
      </c>
      <c r="I10" s="637">
        <v>-6.7631035638782902E-6</v>
      </c>
      <c r="J10" s="637">
        <v>-532300</v>
      </c>
      <c r="M10" s="641" t="s">
        <v>1027</v>
      </c>
      <c r="N10" s="637">
        <v>2952262.72</v>
      </c>
      <c r="O10" s="637">
        <v>1397200</v>
      </c>
      <c r="P10" s="637">
        <v>1356912.04</v>
      </c>
      <c r="Q10" s="637">
        <v>92105.18</v>
      </c>
      <c r="R10" s="637">
        <v>1231086.0900000001</v>
      </c>
      <c r="S10" s="637">
        <v>1033715.16</v>
      </c>
      <c r="T10" s="637">
        <v>-197370.93</v>
      </c>
      <c r="U10" s="637">
        <v>-19.093357400311302</v>
      </c>
      <c r="V10" s="637">
        <v>1356912.04</v>
      </c>
    </row>
    <row r="11" spans="1:22" x14ac:dyDescent="0.2">
      <c r="A11" s="641" t="s">
        <v>1028</v>
      </c>
      <c r="B11" s="637">
        <v>-108944.24</v>
      </c>
      <c r="C11" s="637">
        <v>-68200</v>
      </c>
      <c r="D11" s="637">
        <v>-68200</v>
      </c>
      <c r="E11" s="637">
        <v>-5683.33</v>
      </c>
      <c r="F11" s="637">
        <v>-56833.3</v>
      </c>
      <c r="G11" s="637">
        <v>-56833.33</v>
      </c>
      <c r="H11" s="637">
        <v>-0.03</v>
      </c>
      <c r="I11" s="637">
        <v>-5.2785926849614497E-5</v>
      </c>
      <c r="J11" s="637">
        <v>-68200</v>
      </c>
      <c r="M11" s="641" t="s">
        <v>1028</v>
      </c>
      <c r="N11" s="637">
        <v>2404387.8399999999</v>
      </c>
      <c r="O11" s="637">
        <v>3181200</v>
      </c>
      <c r="P11" s="637">
        <v>2079700</v>
      </c>
      <c r="Q11" s="637">
        <v>168753.82</v>
      </c>
      <c r="R11" s="637">
        <v>1772942.95</v>
      </c>
      <c r="S11" s="637">
        <v>1750519.62</v>
      </c>
      <c r="T11" s="637">
        <v>-22423.33</v>
      </c>
      <c r="U11" s="637">
        <v>-1.28095279503351</v>
      </c>
      <c r="V11" s="637">
        <v>2079700</v>
      </c>
    </row>
    <row r="12" spans="1:22" x14ac:dyDescent="0.2">
      <c r="A12" s="641" t="s">
        <v>1029</v>
      </c>
      <c r="B12" s="637">
        <v>-937995022.14999998</v>
      </c>
      <c r="C12" s="637">
        <v>-1057620100</v>
      </c>
      <c r="D12" s="637">
        <v>-1060310947</v>
      </c>
      <c r="E12" s="637">
        <v>-64554288</v>
      </c>
      <c r="F12" s="637">
        <v>-908596183.09000003</v>
      </c>
      <c r="G12" s="637">
        <v>-919999005.01999998</v>
      </c>
      <c r="H12" s="637">
        <v>-11402821.93</v>
      </c>
      <c r="I12" s="637">
        <v>-1.2394385067570901</v>
      </c>
      <c r="J12" s="637">
        <v>-1060310947</v>
      </c>
      <c r="M12" s="641" t="s">
        <v>1029</v>
      </c>
      <c r="N12" s="637">
        <v>-106074192.38</v>
      </c>
      <c r="O12" s="637">
        <v>20856400</v>
      </c>
      <c r="P12" s="637">
        <v>-18948322.530000001</v>
      </c>
      <c r="Q12" s="637">
        <v>4382627.43</v>
      </c>
      <c r="R12" s="637">
        <v>-55037818.619999997</v>
      </c>
      <c r="S12" s="637">
        <v>-55119326.43</v>
      </c>
      <c r="T12" s="637">
        <v>-81507.81</v>
      </c>
      <c r="U12" s="637">
        <v>-0.147875192385583</v>
      </c>
      <c r="V12" s="637">
        <v>-18948322.530000001</v>
      </c>
    </row>
    <row r="13" spans="1:22" x14ac:dyDescent="0.2">
      <c r="A13" s="641" t="s">
        <v>1030</v>
      </c>
      <c r="B13" s="637">
        <v>-2952174.83</v>
      </c>
      <c r="C13" s="637">
        <v>-3215000</v>
      </c>
      <c r="D13" s="637">
        <v>-3215000</v>
      </c>
      <c r="E13" s="637">
        <v>-32983.33</v>
      </c>
      <c r="F13" s="637">
        <v>-2194273.7999999998</v>
      </c>
      <c r="G13" s="637">
        <v>-329833.33</v>
      </c>
      <c r="H13" s="637">
        <v>1864440.47</v>
      </c>
      <c r="I13" s="637">
        <v>565.26745492943405</v>
      </c>
      <c r="J13" s="637">
        <v>-3215000</v>
      </c>
      <c r="M13" s="641" t="s">
        <v>1030</v>
      </c>
      <c r="N13" s="637">
        <v>103710281.64</v>
      </c>
      <c r="O13" s="637">
        <v>28054000</v>
      </c>
      <c r="P13" s="637">
        <v>33703367.289999999</v>
      </c>
      <c r="Q13" s="637">
        <v>8314989.1399999997</v>
      </c>
      <c r="R13" s="637">
        <v>87738027.109999999</v>
      </c>
      <c r="S13" s="637">
        <v>57510536.219999999</v>
      </c>
      <c r="T13" s="637">
        <v>-30227490.890000001</v>
      </c>
      <c r="U13" s="637">
        <v>-52.5599183675982</v>
      </c>
      <c r="V13" s="637">
        <v>33703367.289999999</v>
      </c>
    </row>
    <row r="14" spans="1:22" x14ac:dyDescent="0.2">
      <c r="A14" s="641" t="s">
        <v>143</v>
      </c>
      <c r="B14" s="637">
        <v>-2878898.02</v>
      </c>
      <c r="C14" s="637">
        <v>-1586600</v>
      </c>
      <c r="D14" s="637">
        <v>-1584800</v>
      </c>
      <c r="E14" s="637">
        <v>-53465.47</v>
      </c>
      <c r="F14" s="637">
        <v>-1264381.74</v>
      </c>
      <c r="G14" s="637">
        <v>-1238030.6100000001</v>
      </c>
      <c r="H14" s="637">
        <v>26351.13</v>
      </c>
      <c r="I14" s="637">
        <v>2.1284716053991599</v>
      </c>
      <c r="J14" s="637">
        <v>-1584800</v>
      </c>
      <c r="M14" s="641" t="s">
        <v>143</v>
      </c>
      <c r="N14" s="637">
        <v>5702685.8499999996</v>
      </c>
      <c r="O14" s="637">
        <v>12176800</v>
      </c>
      <c r="P14" s="637">
        <v>10017209.060000001</v>
      </c>
      <c r="Q14" s="637">
        <v>521747.7</v>
      </c>
      <c r="R14" s="637">
        <v>4354685.29</v>
      </c>
      <c r="S14" s="637">
        <v>5691365.3899999997</v>
      </c>
      <c r="T14" s="637">
        <v>1336680.1000000001</v>
      </c>
      <c r="U14" s="637">
        <v>23.4861058534146</v>
      </c>
      <c r="V14" s="637">
        <v>10017209.060000001</v>
      </c>
    </row>
    <row r="15" spans="1:22" x14ac:dyDescent="0.2">
      <c r="A15" s="641" t="s">
        <v>144</v>
      </c>
      <c r="B15" s="637">
        <v>-582966.48</v>
      </c>
      <c r="C15" s="637">
        <v>-813500</v>
      </c>
      <c r="D15" s="637">
        <v>-946200</v>
      </c>
      <c r="E15" s="637">
        <v>-122608.34</v>
      </c>
      <c r="F15" s="637">
        <v>-317083.40000000002</v>
      </c>
      <c r="G15" s="637">
        <v>-216169.08</v>
      </c>
      <c r="H15" s="637">
        <v>100914.32</v>
      </c>
      <c r="I15" s="637">
        <v>46.683050138345401</v>
      </c>
      <c r="J15" s="637">
        <v>-946200</v>
      </c>
      <c r="M15" s="641" t="s">
        <v>144</v>
      </c>
      <c r="N15" s="637">
        <v>167713056.75</v>
      </c>
      <c r="O15" s="637">
        <v>53996500</v>
      </c>
      <c r="P15" s="637">
        <v>179867034.83000001</v>
      </c>
      <c r="Q15" s="637">
        <v>-1503286.33</v>
      </c>
      <c r="R15" s="637">
        <v>120925842.40000001</v>
      </c>
      <c r="S15" s="637">
        <v>134660898.18000001</v>
      </c>
      <c r="T15" s="637">
        <v>13735055.779999999</v>
      </c>
      <c r="U15" s="637">
        <v>10.199735755245401</v>
      </c>
      <c r="V15" s="637">
        <v>179867034.83000001</v>
      </c>
    </row>
    <row r="16" spans="1:22" x14ac:dyDescent="0.2">
      <c r="A16" s="641" t="s">
        <v>1031</v>
      </c>
      <c r="B16" s="637">
        <v>-195317.97</v>
      </c>
      <c r="C16" s="637">
        <v>-96000</v>
      </c>
      <c r="D16" s="637">
        <v>-96200</v>
      </c>
      <c r="E16" s="637">
        <v>-7958.34</v>
      </c>
      <c r="F16" s="637">
        <v>-79583.399999999994</v>
      </c>
      <c r="G16" s="637">
        <v>-79669.08</v>
      </c>
      <c r="H16" s="637">
        <v>-85.68</v>
      </c>
      <c r="I16" s="637">
        <v>-0.107544859310538</v>
      </c>
      <c r="J16" s="637">
        <v>-96200</v>
      </c>
      <c r="M16" s="641" t="s">
        <v>1031</v>
      </c>
      <c r="N16" s="637">
        <v>12856189.609999999</v>
      </c>
      <c r="O16" s="637">
        <v>0</v>
      </c>
      <c r="P16" s="637">
        <v>-1581899.99</v>
      </c>
      <c r="Q16" s="637">
        <v>-415645.22</v>
      </c>
      <c r="R16" s="637">
        <v>-2384217.7400000002</v>
      </c>
      <c r="S16" s="637">
        <v>-1894975.19</v>
      </c>
      <c r="T16" s="637">
        <v>489242.55</v>
      </c>
      <c r="U16" s="637">
        <v>25.817886829431298</v>
      </c>
      <c r="V16" s="637">
        <v>-1581899.99</v>
      </c>
    </row>
    <row r="17" spans="1:22" x14ac:dyDescent="0.2">
      <c r="A17" s="641" t="s">
        <v>1576</v>
      </c>
      <c r="B17" s="637">
        <v>-2766273.72</v>
      </c>
      <c r="C17" s="637">
        <v>-3106200</v>
      </c>
      <c r="D17" s="637">
        <v>-3435300</v>
      </c>
      <c r="E17" s="637">
        <v>-412574.67</v>
      </c>
      <c r="F17" s="637">
        <v>-3191636.77</v>
      </c>
      <c r="G17" s="637">
        <v>-2350807.7999999998</v>
      </c>
      <c r="H17" s="637">
        <v>840828.97</v>
      </c>
      <c r="I17" s="637">
        <v>35.7676612269195</v>
      </c>
      <c r="J17" s="637">
        <v>-3435300</v>
      </c>
      <c r="M17" s="641" t="s">
        <v>1576</v>
      </c>
      <c r="N17" s="637">
        <v>9178712.4800000004</v>
      </c>
      <c r="O17" s="637">
        <v>9689700</v>
      </c>
      <c r="P17" s="637">
        <v>9098772.8399999999</v>
      </c>
      <c r="Q17" s="637">
        <v>441014.92</v>
      </c>
      <c r="R17" s="637">
        <v>5831580.8899999997</v>
      </c>
      <c r="S17" s="637">
        <v>6972807.0599999996</v>
      </c>
      <c r="T17" s="637">
        <v>1141226.17</v>
      </c>
      <c r="U17" s="637">
        <v>16.366811245168702</v>
      </c>
      <c r="V17" s="637">
        <v>9098772.8399999999</v>
      </c>
    </row>
    <row r="18" spans="1:22" x14ac:dyDescent="0.2">
      <c r="A18" s="641" t="s">
        <v>145</v>
      </c>
      <c r="B18" s="637">
        <v>-431787.13</v>
      </c>
      <c r="C18" s="637">
        <v>-464700</v>
      </c>
      <c r="D18" s="637">
        <v>-464700</v>
      </c>
      <c r="E18" s="637">
        <v>-36286.32</v>
      </c>
      <c r="F18" s="637">
        <v>-360363.59</v>
      </c>
      <c r="G18" s="637">
        <v>-364218.07</v>
      </c>
      <c r="H18" s="637">
        <v>-3854.48</v>
      </c>
      <c r="I18" s="637">
        <v>-1.05828906292321</v>
      </c>
      <c r="J18" s="637">
        <v>-464700</v>
      </c>
      <c r="M18" s="641" t="s">
        <v>145</v>
      </c>
      <c r="N18" s="637">
        <v>2849313.42</v>
      </c>
      <c r="O18" s="637">
        <v>747300</v>
      </c>
      <c r="P18" s="637">
        <v>709300.3</v>
      </c>
      <c r="Q18" s="637">
        <v>53582.400000000001</v>
      </c>
      <c r="R18" s="637">
        <v>533589.4</v>
      </c>
      <c r="S18" s="637">
        <v>581731.31999999995</v>
      </c>
      <c r="T18" s="637">
        <v>48141.919999999998</v>
      </c>
      <c r="U18" s="637">
        <v>8.2756279995376598</v>
      </c>
      <c r="V18" s="637">
        <v>709300.3</v>
      </c>
    </row>
    <row r="19" spans="1:22" x14ac:dyDescent="0.2">
      <c r="A19" s="641" t="s">
        <v>1033</v>
      </c>
      <c r="B19" s="637">
        <v>-80453.100000000006</v>
      </c>
      <c r="C19" s="637">
        <v>-27400</v>
      </c>
      <c r="D19" s="637">
        <v>-27500</v>
      </c>
      <c r="E19" s="637">
        <v>-2275</v>
      </c>
      <c r="F19" s="637">
        <v>-22773.07</v>
      </c>
      <c r="G19" s="637">
        <v>-22915.94</v>
      </c>
      <c r="H19" s="637">
        <v>-142.87</v>
      </c>
      <c r="I19" s="637">
        <v>-0.62345249638461298</v>
      </c>
      <c r="J19" s="637">
        <v>-27500</v>
      </c>
      <c r="M19" s="641" t="s">
        <v>1033</v>
      </c>
      <c r="N19" s="637">
        <v>4608453.26</v>
      </c>
      <c r="O19" s="637">
        <v>6210400</v>
      </c>
      <c r="P19" s="637">
        <v>5994702.1900000004</v>
      </c>
      <c r="Q19" s="637">
        <v>293672.25</v>
      </c>
      <c r="R19" s="637">
        <v>2989788.08</v>
      </c>
      <c r="S19" s="637">
        <v>3712548.89</v>
      </c>
      <c r="T19" s="637">
        <v>722760.81</v>
      </c>
      <c r="U19" s="637">
        <v>19.4680482712781</v>
      </c>
      <c r="V19" s="637">
        <v>5994702.1900000004</v>
      </c>
    </row>
    <row r="20" spans="1:22" x14ac:dyDescent="0.2">
      <c r="A20" s="641" t="s">
        <v>1034</v>
      </c>
      <c r="B20" s="637">
        <v>-852769.74</v>
      </c>
      <c r="C20" s="637">
        <v>-427600</v>
      </c>
      <c r="D20" s="637">
        <v>-427600</v>
      </c>
      <c r="E20" s="637">
        <v>-35633.33</v>
      </c>
      <c r="F20" s="637">
        <v>-356333.3</v>
      </c>
      <c r="G20" s="637">
        <v>-356333.33</v>
      </c>
      <c r="H20" s="637">
        <v>-0.03</v>
      </c>
      <c r="I20" s="637">
        <v>-8.4190833341354807E-6</v>
      </c>
      <c r="J20" s="637">
        <v>-427600</v>
      </c>
      <c r="M20" s="641" t="s">
        <v>1034</v>
      </c>
      <c r="N20" s="637">
        <v>38461200.210000001</v>
      </c>
      <c r="O20" s="637">
        <v>37445300</v>
      </c>
      <c r="P20" s="637">
        <v>46012294.75</v>
      </c>
      <c r="Q20" s="637">
        <v>2614565.98</v>
      </c>
      <c r="R20" s="637">
        <v>31382744.379999999</v>
      </c>
      <c r="S20" s="637">
        <v>41903366.530000001</v>
      </c>
      <c r="T20" s="637">
        <v>10520622.15</v>
      </c>
      <c r="U20" s="637">
        <v>25.106866157085399</v>
      </c>
      <c r="V20" s="637">
        <v>46012294.75</v>
      </c>
    </row>
    <row r="21" spans="1:22" x14ac:dyDescent="0.2">
      <c r="A21" s="641" t="s">
        <v>1577</v>
      </c>
      <c r="B21" s="637">
        <v>-2532974.44</v>
      </c>
      <c r="C21" s="637">
        <v>-2319400</v>
      </c>
      <c r="D21" s="637">
        <v>-2967100</v>
      </c>
      <c r="E21" s="637">
        <v>-84550.47</v>
      </c>
      <c r="F21" s="637">
        <v>-4382412.0999999996</v>
      </c>
      <c r="G21" s="637">
        <v>-4248438.55</v>
      </c>
      <c r="H21" s="637">
        <v>133973.54999999999</v>
      </c>
      <c r="I21" s="637">
        <v>3.1534774111302601</v>
      </c>
      <c r="J21" s="637">
        <v>-2967100</v>
      </c>
      <c r="M21" s="641" t="s">
        <v>1577</v>
      </c>
      <c r="N21" s="637">
        <v>4081321.59</v>
      </c>
      <c r="O21" s="637">
        <v>-3321900</v>
      </c>
      <c r="P21" s="637">
        <v>-5399492.1699999999</v>
      </c>
      <c r="Q21" s="637">
        <v>-749373.16</v>
      </c>
      <c r="R21" s="637">
        <v>-5984573.3300000001</v>
      </c>
      <c r="S21" s="637">
        <v>-5461391.96</v>
      </c>
      <c r="T21" s="637">
        <v>523181.37</v>
      </c>
      <c r="U21" s="637">
        <v>9.5796341634486897</v>
      </c>
      <c r="V21" s="637">
        <v>-5399492.1699999999</v>
      </c>
    </row>
    <row r="22" spans="1:22" x14ac:dyDescent="0.2">
      <c r="A22" s="641" t="s">
        <v>1036</v>
      </c>
      <c r="B22" s="637">
        <v>-66280.52</v>
      </c>
      <c r="C22" s="637">
        <v>-27900</v>
      </c>
      <c r="D22" s="637">
        <v>-28000</v>
      </c>
      <c r="E22" s="637">
        <v>-2275</v>
      </c>
      <c r="F22" s="637">
        <v>-22766.18</v>
      </c>
      <c r="G22" s="637">
        <v>-22909.05</v>
      </c>
      <c r="H22" s="637">
        <v>-142.87</v>
      </c>
      <c r="I22" s="637">
        <v>-0.62364000253175</v>
      </c>
      <c r="J22" s="637">
        <v>-28000</v>
      </c>
      <c r="M22" s="641" t="s">
        <v>1036</v>
      </c>
      <c r="N22" s="637">
        <v>4176344.34</v>
      </c>
      <c r="O22" s="637">
        <v>4269600</v>
      </c>
      <c r="P22" s="637">
        <v>11029500</v>
      </c>
      <c r="Q22" s="637">
        <v>1354117.11</v>
      </c>
      <c r="R22" s="637">
        <v>5523747.0499999998</v>
      </c>
      <c r="S22" s="637">
        <v>4634181.0599999996</v>
      </c>
      <c r="T22" s="637">
        <v>-889565.99</v>
      </c>
      <c r="U22" s="637">
        <v>-19.195753866379999</v>
      </c>
      <c r="V22" s="637">
        <v>11029500</v>
      </c>
    </row>
    <row r="23" spans="1:22" x14ac:dyDescent="0.2">
      <c r="A23" s="640" t="s">
        <v>1037</v>
      </c>
      <c r="B23" s="637">
        <v>-98355.01</v>
      </c>
      <c r="C23" s="637">
        <v>-27400</v>
      </c>
      <c r="D23" s="637">
        <v>-27500</v>
      </c>
      <c r="E23" s="637">
        <v>-2275</v>
      </c>
      <c r="F23" s="637">
        <v>-22750</v>
      </c>
      <c r="G23" s="637">
        <v>-22892.87</v>
      </c>
      <c r="H23" s="637">
        <v>-142.87</v>
      </c>
      <c r="I23" s="637">
        <v>-0.62408077274714802</v>
      </c>
      <c r="J23" s="637">
        <v>-27500</v>
      </c>
      <c r="M23" s="640" t="s">
        <v>1037</v>
      </c>
      <c r="N23" s="637">
        <v>351616.26</v>
      </c>
      <c r="O23" s="637">
        <v>175900</v>
      </c>
      <c r="P23" s="637">
        <v>191500</v>
      </c>
      <c r="Q23" s="637">
        <v>1460301.76</v>
      </c>
      <c r="R23" s="637">
        <v>-970255.13</v>
      </c>
      <c r="S23" s="637">
        <v>-3964938.69</v>
      </c>
      <c r="T23" s="637">
        <v>-2994683.56</v>
      </c>
      <c r="U23" s="637">
        <v>-75.529126529822804</v>
      </c>
      <c r="V23" s="637">
        <v>191500</v>
      </c>
    </row>
    <row r="24" spans="1:22" x14ac:dyDescent="0.2">
      <c r="A24" s="641" t="s">
        <v>1038</v>
      </c>
      <c r="B24" s="637">
        <v>-98355.01</v>
      </c>
      <c r="C24" s="637">
        <v>-27400</v>
      </c>
      <c r="D24" s="637">
        <v>-27500</v>
      </c>
      <c r="E24" s="637">
        <v>-2275</v>
      </c>
      <c r="F24" s="637">
        <v>-22750</v>
      </c>
      <c r="G24" s="637">
        <v>-22892.87</v>
      </c>
      <c r="H24" s="637">
        <v>-142.87</v>
      </c>
      <c r="I24" s="637">
        <v>-0.62408077274714802</v>
      </c>
      <c r="J24" s="637">
        <v>-27500</v>
      </c>
      <c r="M24" s="641" t="s">
        <v>1038</v>
      </c>
      <c r="N24" s="637">
        <v>351616.26</v>
      </c>
      <c r="O24" s="637">
        <v>175900</v>
      </c>
      <c r="P24" s="637">
        <v>191500</v>
      </c>
      <c r="Q24" s="637">
        <v>1460301.76</v>
      </c>
      <c r="R24" s="637">
        <v>-970255.13</v>
      </c>
      <c r="S24" s="637">
        <v>-3964938.69</v>
      </c>
      <c r="T24" s="637">
        <v>-2994683.56</v>
      </c>
      <c r="U24" s="637">
        <v>-75.529126529822804</v>
      </c>
      <c r="V24" s="637">
        <v>191500</v>
      </c>
    </row>
    <row r="25" spans="1:22" x14ac:dyDescent="0.2">
      <c r="A25" s="639" t="s">
        <v>92</v>
      </c>
      <c r="B25" s="637">
        <v>-194893423.75999999</v>
      </c>
      <c r="C25" s="637">
        <v>-113811000</v>
      </c>
      <c r="D25" s="637">
        <v>-123964400</v>
      </c>
      <c r="E25" s="637">
        <v>-15728027.029999999</v>
      </c>
      <c r="F25" s="637">
        <v>-83444730.340000004</v>
      </c>
      <c r="G25" s="637">
        <v>-84105677.609999999</v>
      </c>
      <c r="H25" s="637">
        <v>-660947.27</v>
      </c>
      <c r="I25" s="637">
        <v>27.894502195212301</v>
      </c>
      <c r="J25" s="637">
        <v>-123964400</v>
      </c>
      <c r="M25" s="639" t="s">
        <v>92</v>
      </c>
      <c r="N25" s="637">
        <v>724804056.40999997</v>
      </c>
      <c r="O25" s="637">
        <v>699750500</v>
      </c>
      <c r="P25" s="637">
        <v>705081742.66999996</v>
      </c>
      <c r="Q25" s="637">
        <v>48580750.390000001</v>
      </c>
      <c r="R25" s="637">
        <v>494039305.75</v>
      </c>
      <c r="S25" s="637">
        <v>520835511.94999999</v>
      </c>
      <c r="T25" s="637">
        <v>26796206.199999999</v>
      </c>
      <c r="U25" s="637">
        <v>5.1448500697802704</v>
      </c>
      <c r="V25" s="637">
        <v>705081742.66999996</v>
      </c>
    </row>
    <row r="26" spans="1:22" x14ac:dyDescent="0.2">
      <c r="A26" s="640" t="s">
        <v>93</v>
      </c>
      <c r="B26" s="637">
        <v>-17439895.370000001</v>
      </c>
      <c r="C26" s="637">
        <v>-18143100</v>
      </c>
      <c r="D26" s="637">
        <v>-18094400</v>
      </c>
      <c r="E26" s="637">
        <v>-586739.96</v>
      </c>
      <c r="F26" s="637">
        <v>-16810938.350000001</v>
      </c>
      <c r="G26" s="637">
        <v>-16217743.34</v>
      </c>
      <c r="H26" s="637">
        <v>593195.01</v>
      </c>
      <c r="I26" s="637">
        <v>-5.2280473660153204</v>
      </c>
      <c r="J26" s="637">
        <v>-18094400</v>
      </c>
      <c r="M26" s="640" t="s">
        <v>93</v>
      </c>
      <c r="N26" s="637">
        <v>145439499.38999999</v>
      </c>
      <c r="O26" s="637">
        <v>150173900</v>
      </c>
      <c r="P26" s="637">
        <v>149164404.88999999</v>
      </c>
      <c r="Q26" s="637">
        <v>13971116.6</v>
      </c>
      <c r="R26" s="637">
        <v>121083989.15000001</v>
      </c>
      <c r="S26" s="637">
        <v>118725373.8</v>
      </c>
      <c r="T26" s="637">
        <v>-2358615.35</v>
      </c>
      <c r="U26" s="637">
        <v>-1.9866143811627199</v>
      </c>
      <c r="V26" s="637">
        <v>149164404.88999999</v>
      </c>
    </row>
    <row r="27" spans="1:22" x14ac:dyDescent="0.2">
      <c r="A27" s="641" t="s">
        <v>147</v>
      </c>
      <c r="B27" s="637"/>
      <c r="C27" s="637"/>
      <c r="D27" s="637"/>
      <c r="E27" s="637"/>
      <c r="F27" s="637"/>
      <c r="G27" s="637"/>
      <c r="H27" s="637"/>
      <c r="I27" s="637"/>
      <c r="J27" s="637"/>
      <c r="M27" s="641" t="s">
        <v>147</v>
      </c>
      <c r="N27" s="637"/>
      <c r="O27" s="637"/>
      <c r="P27" s="637"/>
      <c r="Q27" s="637"/>
      <c r="R27" s="637"/>
      <c r="S27" s="637"/>
      <c r="T27" s="637"/>
      <c r="U27" s="637"/>
      <c r="V27" s="637"/>
    </row>
    <row r="28" spans="1:22" x14ac:dyDescent="0.2">
      <c r="A28" s="641" t="s">
        <v>660</v>
      </c>
      <c r="B28" s="637"/>
      <c r="C28" s="637"/>
      <c r="D28" s="637"/>
      <c r="E28" s="637"/>
      <c r="F28" s="637"/>
      <c r="G28" s="637"/>
      <c r="H28" s="637"/>
      <c r="I28" s="637"/>
      <c r="J28" s="637"/>
      <c r="M28" s="641" t="s">
        <v>660</v>
      </c>
      <c r="N28" s="637"/>
      <c r="O28" s="637"/>
      <c r="P28" s="637"/>
      <c r="Q28" s="637"/>
      <c r="R28" s="637"/>
      <c r="S28" s="637"/>
      <c r="T28" s="637"/>
      <c r="U28" s="637"/>
      <c r="V28" s="637"/>
    </row>
    <row r="29" spans="1:22" x14ac:dyDescent="0.2">
      <c r="A29" s="641" t="s">
        <v>1040</v>
      </c>
      <c r="B29" s="637"/>
      <c r="C29" s="637"/>
      <c r="D29" s="637"/>
      <c r="E29" s="637"/>
      <c r="F29" s="637"/>
      <c r="G29" s="637"/>
      <c r="H29" s="637"/>
      <c r="I29" s="637"/>
      <c r="J29" s="637"/>
      <c r="M29" s="641" t="s">
        <v>1040</v>
      </c>
      <c r="N29" s="637"/>
      <c r="O29" s="637"/>
      <c r="P29" s="637"/>
      <c r="Q29" s="637"/>
      <c r="R29" s="637"/>
      <c r="S29" s="637"/>
      <c r="T29" s="637"/>
      <c r="U29" s="637"/>
      <c r="V29" s="637"/>
    </row>
    <row r="30" spans="1:22" x14ac:dyDescent="0.2">
      <c r="A30" s="641" t="s">
        <v>1041</v>
      </c>
      <c r="B30" s="637">
        <v>-761756.9</v>
      </c>
      <c r="C30" s="637">
        <v>-1001800</v>
      </c>
      <c r="D30" s="637">
        <v>-851900</v>
      </c>
      <c r="E30" s="637">
        <v>-46616.61</v>
      </c>
      <c r="F30" s="637">
        <v>-541297.96</v>
      </c>
      <c r="G30" s="637">
        <v>-574185.29</v>
      </c>
      <c r="H30" s="637">
        <v>-32887.33</v>
      </c>
      <c r="I30" s="637">
        <v>-5.7276510862895798</v>
      </c>
      <c r="J30" s="637">
        <v>-851900</v>
      </c>
      <c r="M30" s="641" t="s">
        <v>1041</v>
      </c>
      <c r="N30" s="637">
        <v>14941419.48</v>
      </c>
      <c r="O30" s="637">
        <v>16126700</v>
      </c>
      <c r="P30" s="637">
        <v>16901043.359999999</v>
      </c>
      <c r="Q30" s="637">
        <v>1420681.96</v>
      </c>
      <c r="R30" s="637">
        <v>12998328.039999999</v>
      </c>
      <c r="S30" s="637">
        <v>13370873.5</v>
      </c>
      <c r="T30" s="637">
        <v>372545.46</v>
      </c>
      <c r="U30" s="637">
        <v>2.7862462388863398</v>
      </c>
      <c r="V30" s="637">
        <v>16901043.359999999</v>
      </c>
    </row>
    <row r="31" spans="1:22" x14ac:dyDescent="0.2">
      <c r="A31" s="641" t="s">
        <v>1042</v>
      </c>
      <c r="B31" s="637"/>
      <c r="C31" s="637"/>
      <c r="D31" s="637"/>
      <c r="E31" s="637"/>
      <c r="F31" s="637"/>
      <c r="G31" s="637"/>
      <c r="H31" s="637"/>
      <c r="I31" s="637"/>
      <c r="J31" s="637"/>
      <c r="M31" s="641" t="s">
        <v>1042</v>
      </c>
      <c r="N31" s="637"/>
      <c r="O31" s="637"/>
      <c r="P31" s="637"/>
      <c r="Q31" s="637"/>
      <c r="R31" s="637"/>
      <c r="S31" s="637"/>
      <c r="T31" s="637"/>
      <c r="U31" s="637"/>
      <c r="V31" s="637"/>
    </row>
    <row r="32" spans="1:22" x14ac:dyDescent="0.2">
      <c r="A32" s="641" t="s">
        <v>1043</v>
      </c>
      <c r="B32" s="637">
        <v>-2613192.7599999998</v>
      </c>
      <c r="C32" s="637">
        <v>-2934600</v>
      </c>
      <c r="D32" s="637">
        <v>-2934600</v>
      </c>
      <c r="E32" s="637">
        <v>-145706.42000000001</v>
      </c>
      <c r="F32" s="637">
        <v>-3121220.78</v>
      </c>
      <c r="G32" s="637">
        <v>-3202760.24</v>
      </c>
      <c r="H32" s="637">
        <v>-81539.460000000006</v>
      </c>
      <c r="I32" s="637">
        <v>-2.5459120848833798</v>
      </c>
      <c r="J32" s="637">
        <v>-2934600</v>
      </c>
      <c r="M32" s="641" t="s">
        <v>1043</v>
      </c>
      <c r="N32" s="637">
        <v>77802444.480000004</v>
      </c>
      <c r="O32" s="637">
        <v>74330100</v>
      </c>
      <c r="P32" s="637">
        <v>73619039.129999995</v>
      </c>
      <c r="Q32" s="637">
        <v>8025928.6100000003</v>
      </c>
      <c r="R32" s="637">
        <v>61224463.840000004</v>
      </c>
      <c r="S32" s="637">
        <v>57561655.229999997</v>
      </c>
      <c r="T32" s="637">
        <v>-3662808.61</v>
      </c>
      <c r="U32" s="637">
        <v>-6.3632788101114501</v>
      </c>
      <c r="V32" s="637">
        <v>73619039.129999995</v>
      </c>
    </row>
    <row r="33" spans="1:22" x14ac:dyDescent="0.2">
      <c r="A33" s="641" t="s">
        <v>1044</v>
      </c>
      <c r="B33" s="637"/>
      <c r="C33" s="637"/>
      <c r="D33" s="637"/>
      <c r="E33" s="637"/>
      <c r="F33" s="637"/>
      <c r="G33" s="637"/>
      <c r="H33" s="637"/>
      <c r="I33" s="637"/>
      <c r="J33" s="637"/>
      <c r="M33" s="641" t="s">
        <v>1044</v>
      </c>
      <c r="N33" s="637"/>
      <c r="O33" s="637"/>
      <c r="P33" s="637"/>
      <c r="Q33" s="637"/>
      <c r="R33" s="637"/>
      <c r="S33" s="637"/>
      <c r="T33" s="637"/>
      <c r="U33" s="637"/>
      <c r="V33" s="637"/>
    </row>
    <row r="34" spans="1:22" x14ac:dyDescent="0.2">
      <c r="A34" s="641" t="s">
        <v>1045</v>
      </c>
      <c r="B34" s="637">
        <v>-22057.37</v>
      </c>
      <c r="C34" s="637">
        <v>-10200</v>
      </c>
      <c r="D34" s="637">
        <v>-10200</v>
      </c>
      <c r="E34" s="637">
        <v>-850</v>
      </c>
      <c r="F34" s="637">
        <v>-8500</v>
      </c>
      <c r="G34" s="637">
        <v>-8500</v>
      </c>
      <c r="H34" s="637">
        <v>0</v>
      </c>
      <c r="I34" s="637">
        <v>0</v>
      </c>
      <c r="J34" s="637">
        <v>-10200</v>
      </c>
      <c r="M34" s="641" t="s">
        <v>1045</v>
      </c>
      <c r="N34" s="637">
        <v>4072535.48</v>
      </c>
      <c r="O34" s="637">
        <v>7452800</v>
      </c>
      <c r="P34" s="637">
        <v>6766700</v>
      </c>
      <c r="Q34" s="637">
        <v>335076.7</v>
      </c>
      <c r="R34" s="637">
        <v>3841750.75</v>
      </c>
      <c r="S34" s="637">
        <v>4843501.1500000004</v>
      </c>
      <c r="T34" s="637">
        <v>1001750.4</v>
      </c>
      <c r="U34" s="637">
        <v>20.682361146956701</v>
      </c>
      <c r="V34" s="637">
        <v>6766700</v>
      </c>
    </row>
    <row r="35" spans="1:22" x14ac:dyDescent="0.2">
      <c r="A35" s="641" t="s">
        <v>1046</v>
      </c>
      <c r="B35" s="637">
        <v>-41314.74</v>
      </c>
      <c r="C35" s="637">
        <v>-13600</v>
      </c>
      <c r="D35" s="637">
        <v>-13800</v>
      </c>
      <c r="E35" s="637">
        <v>-1133.3399999999999</v>
      </c>
      <c r="F35" s="637">
        <v>-11333.4</v>
      </c>
      <c r="G35" s="637">
        <v>-11419.08</v>
      </c>
      <c r="H35" s="637">
        <v>-85.68</v>
      </c>
      <c r="I35" s="637">
        <v>-0.75032314337056905</v>
      </c>
      <c r="J35" s="637">
        <v>-13800</v>
      </c>
      <c r="M35" s="641" t="s">
        <v>1046</v>
      </c>
      <c r="N35" s="637">
        <v>2504008.2599999998</v>
      </c>
      <c r="O35" s="637">
        <v>4187600</v>
      </c>
      <c r="P35" s="637">
        <v>3534372.39</v>
      </c>
      <c r="Q35" s="637">
        <v>263207.36</v>
      </c>
      <c r="R35" s="637">
        <v>2704294.08</v>
      </c>
      <c r="S35" s="637">
        <v>2800570.82</v>
      </c>
      <c r="T35" s="637">
        <v>96276.74</v>
      </c>
      <c r="U35" s="637">
        <v>3.4377541647027501</v>
      </c>
      <c r="V35" s="637">
        <v>3534372.39</v>
      </c>
    </row>
    <row r="36" spans="1:22" x14ac:dyDescent="0.2">
      <c r="A36" s="641" t="s">
        <v>929</v>
      </c>
      <c r="B36" s="637"/>
      <c r="C36" s="637"/>
      <c r="D36" s="637"/>
      <c r="E36" s="637"/>
      <c r="F36" s="637"/>
      <c r="G36" s="637"/>
      <c r="H36" s="637"/>
      <c r="I36" s="637"/>
      <c r="J36" s="637"/>
      <c r="M36" s="641" t="s">
        <v>929</v>
      </c>
      <c r="N36" s="637"/>
      <c r="O36" s="637"/>
      <c r="P36" s="637"/>
      <c r="Q36" s="637"/>
      <c r="R36" s="637"/>
      <c r="S36" s="637"/>
      <c r="T36" s="637"/>
      <c r="U36" s="637"/>
      <c r="V36" s="637"/>
    </row>
    <row r="37" spans="1:22" x14ac:dyDescent="0.2">
      <c r="A37" s="641" t="s">
        <v>1047</v>
      </c>
      <c r="B37" s="637"/>
      <c r="C37" s="637"/>
      <c r="D37" s="637"/>
      <c r="E37" s="637"/>
      <c r="F37" s="637"/>
      <c r="G37" s="637"/>
      <c r="H37" s="637"/>
      <c r="I37" s="637"/>
      <c r="J37" s="637"/>
      <c r="M37" s="641" t="s">
        <v>1047</v>
      </c>
      <c r="N37" s="637"/>
      <c r="O37" s="637"/>
      <c r="P37" s="637"/>
      <c r="Q37" s="637"/>
      <c r="R37" s="637"/>
      <c r="S37" s="637"/>
      <c r="T37" s="637"/>
      <c r="U37" s="637"/>
      <c r="V37" s="637"/>
    </row>
    <row r="38" spans="1:22" x14ac:dyDescent="0.2">
      <c r="A38" s="641" t="s">
        <v>1048</v>
      </c>
      <c r="B38" s="637"/>
      <c r="C38" s="637"/>
      <c r="D38" s="637"/>
      <c r="E38" s="637"/>
      <c r="F38" s="637"/>
      <c r="G38" s="637"/>
      <c r="H38" s="637"/>
      <c r="I38" s="637"/>
      <c r="J38" s="637"/>
      <c r="M38" s="641" t="s">
        <v>1048</v>
      </c>
      <c r="N38" s="637"/>
      <c r="O38" s="637"/>
      <c r="P38" s="637"/>
      <c r="Q38" s="637"/>
      <c r="R38" s="637"/>
      <c r="S38" s="637"/>
      <c r="T38" s="637"/>
      <c r="U38" s="637"/>
      <c r="V38" s="637"/>
    </row>
    <row r="39" spans="1:22" x14ac:dyDescent="0.2">
      <c r="A39" s="641" t="s">
        <v>1049</v>
      </c>
      <c r="B39" s="637"/>
      <c r="C39" s="637"/>
      <c r="D39" s="637"/>
      <c r="E39" s="637"/>
      <c r="F39" s="637"/>
      <c r="G39" s="637"/>
      <c r="H39" s="637"/>
      <c r="I39" s="637"/>
      <c r="J39" s="637"/>
      <c r="M39" s="641" t="s">
        <v>1049</v>
      </c>
      <c r="N39" s="637"/>
      <c r="O39" s="637"/>
      <c r="P39" s="637"/>
      <c r="Q39" s="637"/>
      <c r="R39" s="637"/>
      <c r="S39" s="637"/>
      <c r="T39" s="637"/>
      <c r="U39" s="637"/>
      <c r="V39" s="637"/>
    </row>
    <row r="40" spans="1:22" x14ac:dyDescent="0.2">
      <c r="A40" s="641" t="s">
        <v>146</v>
      </c>
      <c r="B40" s="637">
        <v>-13650544.689999999</v>
      </c>
      <c r="C40" s="637">
        <v>-13865000</v>
      </c>
      <c r="D40" s="637">
        <v>-13965900</v>
      </c>
      <c r="E40" s="637">
        <v>-388733.59</v>
      </c>
      <c r="F40" s="637">
        <v>-13090532.43</v>
      </c>
      <c r="G40" s="637">
        <v>-12382077.73</v>
      </c>
      <c r="H40" s="637">
        <v>708454.7</v>
      </c>
      <c r="I40" s="637">
        <v>5.7216140574171597</v>
      </c>
      <c r="J40" s="637">
        <v>-13965900</v>
      </c>
      <c r="M40" s="641" t="s">
        <v>146</v>
      </c>
      <c r="N40" s="637">
        <v>42026255.840000004</v>
      </c>
      <c r="O40" s="637">
        <v>43565100</v>
      </c>
      <c r="P40" s="637">
        <v>44005494.399999999</v>
      </c>
      <c r="Q40" s="637">
        <v>3518824.23</v>
      </c>
      <c r="R40" s="637">
        <v>36658025.979999997</v>
      </c>
      <c r="S40" s="637">
        <v>36493155.979999997</v>
      </c>
      <c r="T40" s="637">
        <v>-164870</v>
      </c>
      <c r="U40" s="637">
        <v>-0.45178334285573102</v>
      </c>
      <c r="V40" s="637">
        <v>44005494.399999999</v>
      </c>
    </row>
    <row r="41" spans="1:22" x14ac:dyDescent="0.2">
      <c r="A41" s="641" t="s">
        <v>1050</v>
      </c>
      <c r="B41" s="637"/>
      <c r="C41" s="637"/>
      <c r="D41" s="637"/>
      <c r="E41" s="637"/>
      <c r="F41" s="637"/>
      <c r="G41" s="637"/>
      <c r="H41" s="637"/>
      <c r="I41" s="637"/>
      <c r="J41" s="637"/>
      <c r="M41" s="641" t="s">
        <v>1050</v>
      </c>
      <c r="N41" s="637"/>
      <c r="O41" s="637"/>
      <c r="P41" s="637"/>
      <c r="Q41" s="637"/>
      <c r="R41" s="637"/>
      <c r="S41" s="637"/>
      <c r="T41" s="637"/>
      <c r="U41" s="637"/>
      <c r="V41" s="637"/>
    </row>
    <row r="42" spans="1:22" x14ac:dyDescent="0.2">
      <c r="A42" s="641" t="s">
        <v>1051</v>
      </c>
      <c r="B42" s="637"/>
      <c r="C42" s="637"/>
      <c r="D42" s="637"/>
      <c r="E42" s="637"/>
      <c r="F42" s="637"/>
      <c r="G42" s="637"/>
      <c r="H42" s="637"/>
      <c r="I42" s="637"/>
      <c r="J42" s="637"/>
      <c r="M42" s="641" t="s">
        <v>1051</v>
      </c>
      <c r="N42" s="637"/>
      <c r="O42" s="637"/>
      <c r="P42" s="637"/>
      <c r="Q42" s="637"/>
      <c r="R42" s="637"/>
      <c r="S42" s="637"/>
      <c r="T42" s="637"/>
      <c r="U42" s="637"/>
      <c r="V42" s="637"/>
    </row>
    <row r="43" spans="1:22" x14ac:dyDescent="0.2">
      <c r="A43" s="641" t="s">
        <v>1052</v>
      </c>
      <c r="B43" s="637">
        <v>-351028.91</v>
      </c>
      <c r="C43" s="637">
        <v>-317900</v>
      </c>
      <c r="D43" s="637">
        <v>-318000</v>
      </c>
      <c r="E43" s="637">
        <v>-3700</v>
      </c>
      <c r="F43" s="637">
        <v>-38053.78</v>
      </c>
      <c r="G43" s="637">
        <v>-38801</v>
      </c>
      <c r="H43" s="637">
        <v>-747.22</v>
      </c>
      <c r="I43" s="637">
        <v>-1.9257751088889501</v>
      </c>
      <c r="J43" s="637">
        <v>-318000</v>
      </c>
      <c r="M43" s="641" t="s">
        <v>1052</v>
      </c>
      <c r="N43" s="637">
        <v>4092835.85</v>
      </c>
      <c r="O43" s="637">
        <v>4511600</v>
      </c>
      <c r="P43" s="637">
        <v>4337755.6100000003</v>
      </c>
      <c r="Q43" s="637">
        <v>407397.74</v>
      </c>
      <c r="R43" s="637">
        <v>3657126.46</v>
      </c>
      <c r="S43" s="637">
        <v>3655617.12</v>
      </c>
      <c r="T43" s="637">
        <v>-1509.34</v>
      </c>
      <c r="U43" s="637">
        <v>-4.1288240821019E-2</v>
      </c>
      <c r="V43" s="637">
        <v>4337755.6100000003</v>
      </c>
    </row>
    <row r="44" spans="1:22" x14ac:dyDescent="0.2">
      <c r="A44" s="641" t="s">
        <v>1053</v>
      </c>
      <c r="B44" s="637"/>
      <c r="C44" s="637"/>
      <c r="D44" s="637"/>
      <c r="E44" s="637"/>
      <c r="F44" s="637"/>
      <c r="G44" s="637"/>
      <c r="H44" s="637"/>
      <c r="I44" s="637"/>
      <c r="J44" s="637"/>
      <c r="M44" s="641" t="s">
        <v>1053</v>
      </c>
      <c r="N44" s="637"/>
      <c r="O44" s="637"/>
      <c r="P44" s="637"/>
      <c r="Q44" s="637"/>
      <c r="R44" s="637"/>
      <c r="S44" s="637"/>
      <c r="T44" s="637"/>
      <c r="U44" s="637"/>
      <c r="V44" s="637"/>
    </row>
    <row r="45" spans="1:22" x14ac:dyDescent="0.2">
      <c r="A45" s="641" t="s">
        <v>1054</v>
      </c>
      <c r="B45" s="637"/>
      <c r="C45" s="637"/>
      <c r="D45" s="637"/>
      <c r="E45" s="637"/>
      <c r="F45" s="637"/>
      <c r="G45" s="637"/>
      <c r="H45" s="637"/>
      <c r="I45" s="637"/>
      <c r="J45" s="637"/>
      <c r="M45" s="641" t="s">
        <v>1054</v>
      </c>
      <c r="N45" s="637"/>
      <c r="O45" s="637"/>
      <c r="P45" s="637"/>
      <c r="Q45" s="637"/>
      <c r="R45" s="637"/>
      <c r="S45" s="637"/>
      <c r="T45" s="637"/>
      <c r="U45" s="637"/>
      <c r="V45" s="637"/>
    </row>
    <row r="46" spans="1:22" x14ac:dyDescent="0.2">
      <c r="A46" s="641" t="s">
        <v>1055</v>
      </c>
      <c r="B46" s="637"/>
      <c r="C46" s="637"/>
      <c r="D46" s="637"/>
      <c r="E46" s="637"/>
      <c r="F46" s="637"/>
      <c r="G46" s="637"/>
      <c r="H46" s="637"/>
      <c r="I46" s="637"/>
      <c r="J46" s="637"/>
      <c r="M46" s="641" t="s">
        <v>1055</v>
      </c>
      <c r="N46" s="637"/>
      <c r="O46" s="637"/>
      <c r="P46" s="637"/>
      <c r="Q46" s="637"/>
      <c r="R46" s="637"/>
      <c r="S46" s="637"/>
      <c r="T46" s="637"/>
      <c r="U46" s="637"/>
      <c r="V46" s="637"/>
    </row>
    <row r="47" spans="1:22" x14ac:dyDescent="0.2">
      <c r="A47" s="641" t="s">
        <v>1056</v>
      </c>
      <c r="B47" s="637"/>
      <c r="C47" s="637"/>
      <c r="D47" s="637"/>
      <c r="E47" s="637"/>
      <c r="F47" s="637"/>
      <c r="G47" s="637"/>
      <c r="H47" s="637"/>
      <c r="I47" s="637"/>
      <c r="J47" s="637"/>
      <c r="M47" s="641" t="s">
        <v>1056</v>
      </c>
      <c r="N47" s="637"/>
      <c r="O47" s="637"/>
      <c r="P47" s="637"/>
      <c r="Q47" s="637"/>
      <c r="R47" s="637"/>
      <c r="S47" s="637"/>
      <c r="T47" s="637"/>
      <c r="U47" s="637"/>
      <c r="V47" s="637"/>
    </row>
    <row r="48" spans="1:22" x14ac:dyDescent="0.2">
      <c r="A48" s="640" t="s">
        <v>94</v>
      </c>
      <c r="B48" s="637">
        <v>-26852319.23</v>
      </c>
      <c r="C48" s="637">
        <v>-13277000</v>
      </c>
      <c r="D48" s="637">
        <v>-25077400</v>
      </c>
      <c r="E48" s="637">
        <v>-14366988.890000001</v>
      </c>
      <c r="F48" s="637">
        <v>-43280890.539999999</v>
      </c>
      <c r="G48" s="637">
        <v>-29334960.390000001</v>
      </c>
      <c r="H48" s="637">
        <v>13945930.15</v>
      </c>
      <c r="I48" s="637">
        <v>78.638950819636506</v>
      </c>
      <c r="J48" s="637">
        <v>-25077400</v>
      </c>
      <c r="M48" s="640" t="s">
        <v>94</v>
      </c>
      <c r="N48" s="637">
        <v>204502114.34</v>
      </c>
      <c r="O48" s="637">
        <v>223320200</v>
      </c>
      <c r="P48" s="637">
        <v>225880856.27000001</v>
      </c>
      <c r="Q48" s="637">
        <v>16923305.100000001</v>
      </c>
      <c r="R48" s="637">
        <v>177501265.68000001</v>
      </c>
      <c r="S48" s="637">
        <v>179058462.97</v>
      </c>
      <c r="T48" s="637">
        <v>1557197.29</v>
      </c>
      <c r="U48" s="637">
        <v>0.869658581991122</v>
      </c>
      <c r="V48" s="637">
        <v>225880856.27000001</v>
      </c>
    </row>
    <row r="49" spans="1:22" x14ac:dyDescent="0.2">
      <c r="A49" s="641" t="s">
        <v>1578</v>
      </c>
      <c r="B49" s="637">
        <v>-380735.94</v>
      </c>
      <c r="C49" s="637">
        <v>-321200</v>
      </c>
      <c r="D49" s="637">
        <v>-321200</v>
      </c>
      <c r="E49" s="637">
        <v>-20475</v>
      </c>
      <c r="F49" s="637">
        <v>-204750</v>
      </c>
      <c r="G49" s="637">
        <v>-204750</v>
      </c>
      <c r="H49" s="637">
        <v>0</v>
      </c>
      <c r="I49" s="637">
        <v>0</v>
      </c>
      <c r="J49" s="637">
        <v>-321200</v>
      </c>
      <c r="M49" s="641" t="s">
        <v>1578</v>
      </c>
      <c r="N49" s="637">
        <v>20634040.550000001</v>
      </c>
      <c r="O49" s="637">
        <v>24480800</v>
      </c>
      <c r="P49" s="637">
        <v>26474544.760000002</v>
      </c>
      <c r="Q49" s="637">
        <v>1297048.69</v>
      </c>
      <c r="R49" s="637">
        <v>19582561.98</v>
      </c>
      <c r="S49" s="637">
        <v>20249733.300000001</v>
      </c>
      <c r="T49" s="637">
        <v>667171.31999999995</v>
      </c>
      <c r="U49" s="637">
        <v>3.29471657782278</v>
      </c>
      <c r="V49" s="637">
        <v>26474544.760000002</v>
      </c>
    </row>
    <row r="50" spans="1:22" x14ac:dyDescent="0.2">
      <c r="A50" s="641" t="s">
        <v>1058</v>
      </c>
      <c r="B50" s="637"/>
      <c r="C50" s="637"/>
      <c r="D50" s="637"/>
      <c r="E50" s="637"/>
      <c r="F50" s="637"/>
      <c r="G50" s="637"/>
      <c r="H50" s="637"/>
      <c r="I50" s="637"/>
      <c r="J50" s="637"/>
      <c r="M50" s="641" t="s">
        <v>1058</v>
      </c>
      <c r="N50" s="637"/>
      <c r="O50" s="637"/>
      <c r="P50" s="637"/>
      <c r="Q50" s="637"/>
      <c r="R50" s="637"/>
      <c r="S50" s="637"/>
      <c r="T50" s="637"/>
      <c r="U50" s="637"/>
      <c r="V50" s="637"/>
    </row>
    <row r="51" spans="1:22" x14ac:dyDescent="0.2">
      <c r="A51" s="641" t="s">
        <v>1059</v>
      </c>
      <c r="B51" s="637">
        <v>-13644179.029999999</v>
      </c>
      <c r="C51" s="637">
        <v>-9540300</v>
      </c>
      <c r="D51" s="637">
        <v>-9540400</v>
      </c>
      <c r="E51" s="637">
        <v>-875939.86</v>
      </c>
      <c r="F51" s="637">
        <v>-6763103.8200000003</v>
      </c>
      <c r="G51" s="637">
        <v>-6356883.71</v>
      </c>
      <c r="H51" s="637">
        <v>406220.11</v>
      </c>
      <c r="I51" s="637">
        <v>6.3902397547555596</v>
      </c>
      <c r="J51" s="637">
        <v>-9540400</v>
      </c>
      <c r="M51" s="641" t="s">
        <v>1059</v>
      </c>
      <c r="N51" s="637">
        <v>100147726.72</v>
      </c>
      <c r="O51" s="637">
        <v>110015500</v>
      </c>
      <c r="P51" s="637">
        <v>105029036.72</v>
      </c>
      <c r="Q51" s="637">
        <v>8111094.96</v>
      </c>
      <c r="R51" s="637">
        <v>85014537.829999998</v>
      </c>
      <c r="S51" s="637">
        <v>85121976.409999996</v>
      </c>
      <c r="T51" s="637">
        <v>107438.58</v>
      </c>
      <c r="U51" s="637">
        <v>0.12621720562796801</v>
      </c>
      <c r="V51" s="637">
        <v>105029036.72</v>
      </c>
    </row>
    <row r="52" spans="1:22" x14ac:dyDescent="0.2">
      <c r="A52" s="641" t="s">
        <v>1060</v>
      </c>
      <c r="B52" s="637">
        <v>-10719352.15</v>
      </c>
      <c r="C52" s="637">
        <v>-1484600</v>
      </c>
      <c r="D52" s="637">
        <v>-1484900</v>
      </c>
      <c r="E52" s="637">
        <v>-70351.960000000006</v>
      </c>
      <c r="F52" s="637">
        <v>-2122213.64</v>
      </c>
      <c r="G52" s="637">
        <v>-1966385.65</v>
      </c>
      <c r="H52" s="637">
        <v>155827.99</v>
      </c>
      <c r="I52" s="637">
        <v>7.9245894618891297</v>
      </c>
      <c r="J52" s="637">
        <v>-1484900</v>
      </c>
      <c r="M52" s="641" t="s">
        <v>1060</v>
      </c>
      <c r="N52" s="637">
        <v>42344983.719999999</v>
      </c>
      <c r="O52" s="637">
        <v>46442000</v>
      </c>
      <c r="P52" s="637">
        <v>51703102.140000001</v>
      </c>
      <c r="Q52" s="637">
        <v>4879375.04</v>
      </c>
      <c r="R52" s="637">
        <v>40088339.670000002</v>
      </c>
      <c r="S52" s="637">
        <v>40894862.270000003</v>
      </c>
      <c r="T52" s="637">
        <v>806522.6</v>
      </c>
      <c r="U52" s="637">
        <v>1.9721856370981199</v>
      </c>
      <c r="V52" s="637">
        <v>51703102.140000001</v>
      </c>
    </row>
    <row r="53" spans="1:22" x14ac:dyDescent="0.2">
      <c r="A53" s="641" t="s">
        <v>1061</v>
      </c>
      <c r="B53" s="637">
        <v>-2108052.11</v>
      </c>
      <c r="C53" s="637">
        <v>-1930900</v>
      </c>
      <c r="D53" s="637">
        <v>-13730900</v>
      </c>
      <c r="E53" s="637">
        <v>-13400222.07</v>
      </c>
      <c r="F53" s="637">
        <v>-34190823.079999998</v>
      </c>
      <c r="G53" s="637">
        <v>-20806941.030000001</v>
      </c>
      <c r="H53" s="637">
        <v>13383882.050000001</v>
      </c>
      <c r="I53" s="637">
        <v>64.324121602991795</v>
      </c>
      <c r="J53" s="637">
        <v>-13730900</v>
      </c>
      <c r="M53" s="641" t="s">
        <v>1061</v>
      </c>
      <c r="N53" s="637">
        <v>41375363.350000001</v>
      </c>
      <c r="O53" s="637">
        <v>42381900</v>
      </c>
      <c r="P53" s="637">
        <v>42674172.649999999</v>
      </c>
      <c r="Q53" s="637">
        <v>2635786.41</v>
      </c>
      <c r="R53" s="637">
        <v>32815826.199999999</v>
      </c>
      <c r="S53" s="637">
        <v>32791890.989999998</v>
      </c>
      <c r="T53" s="637">
        <v>-23935.21</v>
      </c>
      <c r="U53" s="637">
        <v>-7.29912465472001E-2</v>
      </c>
      <c r="V53" s="637">
        <v>42674172.649999999</v>
      </c>
    </row>
    <row r="54" spans="1:22" x14ac:dyDescent="0.2">
      <c r="A54" s="640" t="s">
        <v>95</v>
      </c>
      <c r="B54" s="637">
        <v>-14770399.300000001</v>
      </c>
      <c r="C54" s="637">
        <v>-11362000</v>
      </c>
      <c r="D54" s="637">
        <v>-8048600</v>
      </c>
      <c r="E54" s="637">
        <v>-572179.5</v>
      </c>
      <c r="F54" s="637">
        <v>-5673651.7300000004</v>
      </c>
      <c r="G54" s="637">
        <v>-5785174.2800000003</v>
      </c>
      <c r="H54" s="637">
        <v>-111522.55</v>
      </c>
      <c r="I54" s="637">
        <v>0.53048032713404203</v>
      </c>
      <c r="J54" s="637">
        <v>-8048600</v>
      </c>
      <c r="M54" s="640" t="s">
        <v>95</v>
      </c>
      <c r="N54" s="637">
        <v>204655608.06</v>
      </c>
      <c r="O54" s="637">
        <v>224135300</v>
      </c>
      <c r="P54" s="637">
        <v>226593428.47</v>
      </c>
      <c r="Q54" s="637">
        <v>14716648.26</v>
      </c>
      <c r="R54" s="637">
        <v>152020914.38</v>
      </c>
      <c r="S54" s="637">
        <v>163228749.81999999</v>
      </c>
      <c r="T54" s="637">
        <v>11207835.439999999</v>
      </c>
      <c r="U54" s="637">
        <v>6.8663366302562601</v>
      </c>
      <c r="V54" s="637">
        <v>226593428.47</v>
      </c>
    </row>
    <row r="55" spans="1:22" x14ac:dyDescent="0.2">
      <c r="A55" s="641" t="s">
        <v>149</v>
      </c>
      <c r="B55" s="637"/>
      <c r="C55" s="637"/>
      <c r="D55" s="637"/>
      <c r="E55" s="637"/>
      <c r="F55" s="637"/>
      <c r="G55" s="637"/>
      <c r="H55" s="637"/>
      <c r="I55" s="637"/>
      <c r="J55" s="637"/>
      <c r="M55" s="641" t="s">
        <v>149</v>
      </c>
      <c r="N55" s="637"/>
      <c r="O55" s="637"/>
      <c r="P55" s="637"/>
      <c r="Q55" s="637"/>
      <c r="R55" s="637"/>
      <c r="S55" s="637"/>
      <c r="T55" s="637"/>
      <c r="U55" s="637"/>
      <c r="V55" s="637"/>
    </row>
    <row r="56" spans="1:22" x14ac:dyDescent="0.2">
      <c r="A56" s="641" t="s">
        <v>1062</v>
      </c>
      <c r="B56" s="637"/>
      <c r="C56" s="637"/>
      <c r="D56" s="637"/>
      <c r="E56" s="637"/>
      <c r="F56" s="637"/>
      <c r="G56" s="637"/>
      <c r="H56" s="637"/>
      <c r="I56" s="637"/>
      <c r="J56" s="637"/>
      <c r="M56" s="641" t="s">
        <v>1062</v>
      </c>
      <c r="N56" s="637"/>
      <c r="O56" s="637"/>
      <c r="P56" s="637"/>
      <c r="Q56" s="637"/>
      <c r="R56" s="637"/>
      <c r="S56" s="637"/>
      <c r="T56" s="637"/>
      <c r="U56" s="637"/>
      <c r="V56" s="637"/>
    </row>
    <row r="57" spans="1:22" x14ac:dyDescent="0.2">
      <c r="A57" s="641" t="s">
        <v>1063</v>
      </c>
      <c r="B57" s="637"/>
      <c r="C57" s="637"/>
      <c r="D57" s="637"/>
      <c r="E57" s="637"/>
      <c r="F57" s="637"/>
      <c r="G57" s="637"/>
      <c r="H57" s="637"/>
      <c r="I57" s="637"/>
      <c r="J57" s="637"/>
      <c r="M57" s="641" t="s">
        <v>1063</v>
      </c>
      <c r="N57" s="637"/>
      <c r="O57" s="637"/>
      <c r="P57" s="637"/>
      <c r="Q57" s="637"/>
      <c r="R57" s="637"/>
      <c r="S57" s="637"/>
      <c r="T57" s="637"/>
      <c r="U57" s="637"/>
      <c r="V57" s="637"/>
    </row>
    <row r="58" spans="1:22" x14ac:dyDescent="0.2">
      <c r="A58" s="641" t="s">
        <v>1579</v>
      </c>
      <c r="B58" s="637"/>
      <c r="C58" s="637"/>
      <c r="D58" s="637"/>
      <c r="E58" s="637"/>
      <c r="F58" s="637"/>
      <c r="G58" s="637"/>
      <c r="H58" s="637"/>
      <c r="I58" s="637"/>
      <c r="J58" s="637"/>
      <c r="M58" s="641" t="s">
        <v>1579</v>
      </c>
      <c r="N58" s="637"/>
      <c r="O58" s="637"/>
      <c r="P58" s="637"/>
      <c r="Q58" s="637"/>
      <c r="R58" s="637"/>
      <c r="S58" s="637"/>
      <c r="T58" s="637"/>
      <c r="U58" s="637"/>
      <c r="V58" s="637"/>
    </row>
    <row r="59" spans="1:22" x14ac:dyDescent="0.2">
      <c r="A59" s="641" t="s">
        <v>1065</v>
      </c>
      <c r="B59" s="637">
        <v>-5349885.04</v>
      </c>
      <c r="C59" s="637">
        <v>-1933000</v>
      </c>
      <c r="D59" s="637">
        <v>-2394100</v>
      </c>
      <c r="E59" s="637">
        <v>-172459.87</v>
      </c>
      <c r="F59" s="637">
        <v>-1962653.31</v>
      </c>
      <c r="G59" s="637">
        <v>-1845889.79</v>
      </c>
      <c r="H59" s="637">
        <v>116763.52</v>
      </c>
      <c r="I59" s="637">
        <v>6.3255954192151398</v>
      </c>
      <c r="J59" s="637">
        <v>-2394100</v>
      </c>
      <c r="M59" s="641" t="s">
        <v>1065</v>
      </c>
      <c r="N59" s="637">
        <v>118358522.88</v>
      </c>
      <c r="O59" s="637">
        <v>122121400</v>
      </c>
      <c r="P59" s="637">
        <v>119998596.16</v>
      </c>
      <c r="Q59" s="637">
        <v>8940695.9000000004</v>
      </c>
      <c r="R59" s="637">
        <v>94322059</v>
      </c>
      <c r="S59" s="637">
        <v>96780850.769999996</v>
      </c>
      <c r="T59" s="637">
        <v>2458791.77</v>
      </c>
      <c r="U59" s="637">
        <v>2.5405767261163299</v>
      </c>
      <c r="V59" s="637">
        <v>119998596.16</v>
      </c>
    </row>
    <row r="60" spans="1:22" x14ac:dyDescent="0.2">
      <c r="A60" s="641" t="s">
        <v>1066</v>
      </c>
      <c r="B60" s="637"/>
      <c r="C60" s="637"/>
      <c r="D60" s="637"/>
      <c r="E60" s="637"/>
      <c r="F60" s="637"/>
      <c r="G60" s="637"/>
      <c r="H60" s="637"/>
      <c r="I60" s="637"/>
      <c r="J60" s="637"/>
      <c r="M60" s="641" t="s">
        <v>1066</v>
      </c>
      <c r="N60" s="637">
        <v>918631.91</v>
      </c>
      <c r="O60" s="637">
        <v>1036600</v>
      </c>
      <c r="P60" s="637">
        <v>1036600</v>
      </c>
      <c r="Q60" s="637">
        <v>72866.67</v>
      </c>
      <c r="R60" s="637">
        <v>567266.69999999995</v>
      </c>
      <c r="S60" s="637">
        <v>548566.68999999994</v>
      </c>
      <c r="T60" s="637">
        <v>-18700.009999999998</v>
      </c>
      <c r="U60" s="637">
        <v>-3.4088854356067402</v>
      </c>
      <c r="V60" s="637">
        <v>1036600</v>
      </c>
    </row>
    <row r="61" spans="1:22" x14ac:dyDescent="0.2">
      <c r="A61" s="641" t="s">
        <v>1084</v>
      </c>
      <c r="B61" s="637">
        <v>-9420514.2599999998</v>
      </c>
      <c r="C61" s="637">
        <v>-9429000</v>
      </c>
      <c r="D61" s="637">
        <v>-5654500</v>
      </c>
      <c r="E61" s="637">
        <v>-399719.63</v>
      </c>
      <c r="F61" s="637">
        <v>-3710998.42</v>
      </c>
      <c r="G61" s="637">
        <v>-3939284.49</v>
      </c>
      <c r="H61" s="637">
        <v>-228286.07</v>
      </c>
      <c r="I61" s="637">
        <v>-5.7951150920811001</v>
      </c>
      <c r="J61" s="637">
        <v>-5654500</v>
      </c>
      <c r="M61" s="641" t="s">
        <v>1084</v>
      </c>
      <c r="N61" s="637">
        <v>85378453.269999996</v>
      </c>
      <c r="O61" s="637">
        <v>100977300</v>
      </c>
      <c r="P61" s="637">
        <v>105558232.31</v>
      </c>
      <c r="Q61" s="637">
        <v>5703085.6900000004</v>
      </c>
      <c r="R61" s="637">
        <v>57131588.68</v>
      </c>
      <c r="S61" s="637">
        <v>65899332.359999999</v>
      </c>
      <c r="T61" s="637">
        <v>8767743.6799999997</v>
      </c>
      <c r="U61" s="637">
        <v>13.304753426184799</v>
      </c>
      <c r="V61" s="637">
        <v>105558232.31</v>
      </c>
    </row>
    <row r="62" spans="1:22" x14ac:dyDescent="0.2">
      <c r="A62" s="641" t="s">
        <v>1085</v>
      </c>
      <c r="B62" s="637"/>
      <c r="C62" s="637"/>
      <c r="D62" s="637"/>
      <c r="E62" s="637"/>
      <c r="F62" s="637"/>
      <c r="G62" s="637"/>
      <c r="H62" s="637"/>
      <c r="I62" s="637"/>
      <c r="J62" s="637"/>
      <c r="M62" s="641" t="s">
        <v>1085</v>
      </c>
      <c r="N62" s="637"/>
      <c r="O62" s="637"/>
      <c r="P62" s="637"/>
      <c r="Q62" s="637"/>
      <c r="R62" s="637"/>
      <c r="S62" s="637"/>
      <c r="T62" s="637"/>
      <c r="U62" s="637"/>
      <c r="V62" s="637"/>
    </row>
    <row r="63" spans="1:22" x14ac:dyDescent="0.2">
      <c r="A63" s="640" t="s">
        <v>659</v>
      </c>
      <c r="B63" s="637">
        <v>-135481643.83000001</v>
      </c>
      <c r="C63" s="637">
        <v>-71028900</v>
      </c>
      <c r="D63" s="637">
        <v>-72744000</v>
      </c>
      <c r="E63" s="637">
        <v>-202118.68</v>
      </c>
      <c r="F63" s="637">
        <v>-17679249.719999999</v>
      </c>
      <c r="G63" s="637">
        <v>-32767799.600000001</v>
      </c>
      <c r="H63" s="637">
        <v>-15088549.880000001</v>
      </c>
      <c r="I63" s="637">
        <v>-46.046881585542899</v>
      </c>
      <c r="J63" s="637">
        <v>-72744000</v>
      </c>
      <c r="M63" s="640" t="s">
        <v>659</v>
      </c>
      <c r="N63" s="637">
        <v>163790597.63</v>
      </c>
      <c r="O63" s="637">
        <v>94938900</v>
      </c>
      <c r="P63" s="637">
        <v>96379953.040000007</v>
      </c>
      <c r="Q63" s="637">
        <v>2486516.38</v>
      </c>
      <c r="R63" s="637">
        <v>37540503.340000004</v>
      </c>
      <c r="S63" s="637">
        <v>54060184.719999999</v>
      </c>
      <c r="T63" s="637">
        <v>16519681.380000001</v>
      </c>
      <c r="U63" s="637">
        <v>30.557944752801401</v>
      </c>
      <c r="V63" s="637">
        <v>96379953.040000007</v>
      </c>
    </row>
    <row r="64" spans="1:22" x14ac:dyDescent="0.2">
      <c r="A64" s="641" t="s">
        <v>659</v>
      </c>
      <c r="B64" s="637">
        <v>-135481643.83000001</v>
      </c>
      <c r="C64" s="637">
        <v>-71028900</v>
      </c>
      <c r="D64" s="637">
        <v>-72744000</v>
      </c>
      <c r="E64" s="637">
        <v>-202118.68</v>
      </c>
      <c r="F64" s="637">
        <v>-17679249.719999999</v>
      </c>
      <c r="G64" s="637">
        <v>-32767799.600000001</v>
      </c>
      <c r="H64" s="637">
        <v>-15088549.880000001</v>
      </c>
      <c r="I64" s="637">
        <v>-46.046881585542899</v>
      </c>
      <c r="J64" s="637">
        <v>-72744000</v>
      </c>
      <c r="M64" s="641" t="s">
        <v>659</v>
      </c>
      <c r="N64" s="637">
        <v>163790597.63</v>
      </c>
      <c r="O64" s="637">
        <v>94938900</v>
      </c>
      <c r="P64" s="637">
        <v>96379953.040000007</v>
      </c>
      <c r="Q64" s="637">
        <v>2486516.38</v>
      </c>
      <c r="R64" s="637">
        <v>37540503.340000004</v>
      </c>
      <c r="S64" s="637">
        <v>54060184.719999999</v>
      </c>
      <c r="T64" s="637">
        <v>16519681.380000001</v>
      </c>
      <c r="U64" s="637">
        <v>30.557944752801401</v>
      </c>
      <c r="V64" s="637">
        <v>96379953.040000007</v>
      </c>
    </row>
    <row r="65" spans="1:22" x14ac:dyDescent="0.2">
      <c r="A65" s="641" t="s">
        <v>1067</v>
      </c>
      <c r="B65" s="637"/>
      <c r="C65" s="637"/>
      <c r="D65" s="637"/>
      <c r="E65" s="637"/>
      <c r="F65" s="637"/>
      <c r="G65" s="637"/>
      <c r="H65" s="637"/>
      <c r="I65" s="637"/>
      <c r="J65" s="637"/>
      <c r="M65" s="641" t="s">
        <v>1067</v>
      </c>
      <c r="N65" s="637"/>
      <c r="O65" s="637"/>
      <c r="P65" s="637"/>
      <c r="Q65" s="637"/>
      <c r="R65" s="637"/>
      <c r="S65" s="637"/>
      <c r="T65" s="637"/>
      <c r="U65" s="637"/>
      <c r="V65" s="637"/>
    </row>
    <row r="66" spans="1:22" x14ac:dyDescent="0.2">
      <c r="A66" s="640" t="s">
        <v>559</v>
      </c>
      <c r="B66" s="637">
        <v>-349166.03</v>
      </c>
      <c r="C66" s="637"/>
      <c r="D66" s="637"/>
      <c r="E66" s="637"/>
      <c r="F66" s="637"/>
      <c r="G66" s="637"/>
      <c r="H66" s="637"/>
      <c r="I66" s="637"/>
      <c r="J66" s="637"/>
      <c r="M66" s="640" t="s">
        <v>559</v>
      </c>
      <c r="N66" s="637">
        <v>6416236.9900000002</v>
      </c>
      <c r="O66" s="637">
        <v>7182200</v>
      </c>
      <c r="P66" s="637">
        <v>7063100</v>
      </c>
      <c r="Q66" s="637">
        <v>483164.05</v>
      </c>
      <c r="R66" s="637">
        <v>5892633.2000000002</v>
      </c>
      <c r="S66" s="637">
        <v>5762740.6399999997</v>
      </c>
      <c r="T66" s="637">
        <v>-129892.56</v>
      </c>
      <c r="U66" s="637">
        <v>-2.2540066977576099</v>
      </c>
      <c r="V66" s="637">
        <v>7063100</v>
      </c>
    </row>
    <row r="67" spans="1:22" x14ac:dyDescent="0.2">
      <c r="A67" s="641" t="s">
        <v>474</v>
      </c>
      <c r="B67" s="637"/>
      <c r="C67" s="637"/>
      <c r="D67" s="637"/>
      <c r="E67" s="637"/>
      <c r="F67" s="637"/>
      <c r="G67" s="637"/>
      <c r="H67" s="637"/>
      <c r="I67" s="637"/>
      <c r="J67" s="637"/>
      <c r="M67" s="641" t="s">
        <v>474</v>
      </c>
      <c r="N67" s="637"/>
      <c r="O67" s="637"/>
      <c r="P67" s="637"/>
      <c r="Q67" s="637"/>
      <c r="R67" s="637"/>
      <c r="S67" s="637"/>
      <c r="T67" s="637"/>
      <c r="U67" s="637"/>
      <c r="V67" s="637"/>
    </row>
    <row r="68" spans="1:22" x14ac:dyDescent="0.2">
      <c r="A68" s="641" t="s">
        <v>1068</v>
      </c>
      <c r="B68" s="637">
        <v>-349166.03</v>
      </c>
      <c r="C68" s="637"/>
      <c r="D68" s="637"/>
      <c r="E68" s="637"/>
      <c r="F68" s="637"/>
      <c r="G68" s="637"/>
      <c r="H68" s="637"/>
      <c r="I68" s="637"/>
      <c r="J68" s="637"/>
      <c r="M68" s="641" t="s">
        <v>1068</v>
      </c>
      <c r="N68" s="637">
        <v>6416236.9900000002</v>
      </c>
      <c r="O68" s="637">
        <v>7182200</v>
      </c>
      <c r="P68" s="637">
        <v>7063100</v>
      </c>
      <c r="Q68" s="637">
        <v>483164.05</v>
      </c>
      <c r="R68" s="637">
        <v>5892633.2000000002</v>
      </c>
      <c r="S68" s="637">
        <v>5762740.6399999997</v>
      </c>
      <c r="T68" s="637">
        <v>-129892.56</v>
      </c>
      <c r="U68" s="637">
        <v>-2.2540066977576099</v>
      </c>
      <c r="V68" s="637">
        <v>7063100</v>
      </c>
    </row>
    <row r="69" spans="1:22" x14ac:dyDescent="0.2">
      <c r="A69" s="641" t="s">
        <v>1069</v>
      </c>
      <c r="B69" s="637"/>
      <c r="C69" s="637"/>
      <c r="D69" s="637"/>
      <c r="E69" s="637"/>
      <c r="F69" s="637"/>
      <c r="G69" s="637"/>
      <c r="H69" s="637"/>
      <c r="I69" s="637"/>
      <c r="J69" s="637"/>
      <c r="M69" s="641" t="s">
        <v>1069</v>
      </c>
      <c r="N69" s="637"/>
      <c r="O69" s="637"/>
      <c r="P69" s="637"/>
      <c r="Q69" s="637"/>
      <c r="R69" s="637"/>
      <c r="S69" s="637"/>
      <c r="T69" s="637"/>
      <c r="U69" s="637"/>
      <c r="V69" s="637"/>
    </row>
    <row r="70" spans="1:22" x14ac:dyDescent="0.2">
      <c r="A70" s="641" t="s">
        <v>1070</v>
      </c>
      <c r="B70" s="637"/>
      <c r="C70" s="637"/>
      <c r="D70" s="637"/>
      <c r="E70" s="637"/>
      <c r="F70" s="637"/>
      <c r="G70" s="637"/>
      <c r="H70" s="637"/>
      <c r="I70" s="637"/>
      <c r="J70" s="637"/>
      <c r="M70" s="641" t="s">
        <v>1070</v>
      </c>
      <c r="N70" s="637"/>
      <c r="O70" s="637"/>
      <c r="P70" s="637"/>
      <c r="Q70" s="637"/>
      <c r="R70" s="637"/>
      <c r="S70" s="637"/>
      <c r="T70" s="637"/>
      <c r="U70" s="637"/>
      <c r="V70" s="637"/>
    </row>
    <row r="71" spans="1:22" x14ac:dyDescent="0.2">
      <c r="A71" s="641" t="s">
        <v>1580</v>
      </c>
      <c r="B71" s="637"/>
      <c r="C71" s="637"/>
      <c r="D71" s="637"/>
      <c r="E71" s="637"/>
      <c r="F71" s="637"/>
      <c r="G71" s="637"/>
      <c r="H71" s="637"/>
      <c r="I71" s="637"/>
      <c r="J71" s="637"/>
      <c r="M71" s="641" t="s">
        <v>1580</v>
      </c>
      <c r="N71" s="637"/>
      <c r="O71" s="637"/>
      <c r="P71" s="637"/>
      <c r="Q71" s="637"/>
      <c r="R71" s="637"/>
      <c r="S71" s="637"/>
      <c r="T71" s="637"/>
      <c r="U71" s="637"/>
      <c r="V71" s="637"/>
    </row>
    <row r="72" spans="1:22" x14ac:dyDescent="0.2">
      <c r="A72" s="641" t="s">
        <v>1072</v>
      </c>
      <c r="B72" s="637"/>
      <c r="C72" s="637"/>
      <c r="D72" s="637"/>
      <c r="E72" s="637"/>
      <c r="F72" s="637"/>
      <c r="G72" s="637"/>
      <c r="H72" s="637"/>
      <c r="I72" s="637"/>
      <c r="J72" s="637"/>
      <c r="M72" s="641" t="s">
        <v>1072</v>
      </c>
      <c r="N72" s="637"/>
      <c r="O72" s="637"/>
      <c r="P72" s="637"/>
      <c r="Q72" s="637"/>
      <c r="R72" s="637"/>
      <c r="S72" s="637"/>
      <c r="T72" s="637"/>
      <c r="U72" s="637"/>
      <c r="V72" s="637"/>
    </row>
    <row r="73" spans="1:22" x14ac:dyDescent="0.2">
      <c r="A73" s="641" t="s">
        <v>1073</v>
      </c>
      <c r="B73" s="637"/>
      <c r="C73" s="637"/>
      <c r="D73" s="637"/>
      <c r="E73" s="637"/>
      <c r="F73" s="637"/>
      <c r="G73" s="637"/>
      <c r="H73" s="637"/>
      <c r="I73" s="637"/>
      <c r="J73" s="637"/>
      <c r="M73" s="641" t="s">
        <v>1073</v>
      </c>
      <c r="N73" s="637"/>
      <c r="O73" s="637"/>
      <c r="P73" s="637"/>
      <c r="Q73" s="637"/>
      <c r="R73" s="637"/>
      <c r="S73" s="637"/>
      <c r="T73" s="637"/>
      <c r="U73" s="637"/>
      <c r="V73" s="637"/>
    </row>
    <row r="74" spans="1:22" x14ac:dyDescent="0.2">
      <c r="A74" s="639" t="s">
        <v>96</v>
      </c>
      <c r="B74" s="637">
        <v>-188781901.33000001</v>
      </c>
      <c r="C74" s="637">
        <v>-75661100</v>
      </c>
      <c r="D74" s="637">
        <v>-91311200</v>
      </c>
      <c r="E74" s="637">
        <v>-22454866.760000002</v>
      </c>
      <c r="F74" s="637">
        <v>-87786910.239999995</v>
      </c>
      <c r="G74" s="637">
        <v>-70111704.609999999</v>
      </c>
      <c r="H74" s="637">
        <v>17675205.629999999</v>
      </c>
      <c r="I74" s="637">
        <v>309.44231652301801</v>
      </c>
      <c r="J74" s="637">
        <v>-91311200</v>
      </c>
      <c r="M74" s="639" t="s">
        <v>96</v>
      </c>
      <c r="N74" s="637">
        <v>513512632.31</v>
      </c>
      <c r="O74" s="637">
        <v>420651100</v>
      </c>
      <c r="P74" s="637">
        <v>414170052.55000001</v>
      </c>
      <c r="Q74" s="637">
        <v>32868887.170000002</v>
      </c>
      <c r="R74" s="637">
        <v>333908695.85000002</v>
      </c>
      <c r="S74" s="637">
        <v>345468396.19999999</v>
      </c>
      <c r="T74" s="637">
        <v>11559700.35</v>
      </c>
      <c r="U74" s="637">
        <v>3.3460948894751601</v>
      </c>
      <c r="V74" s="637">
        <v>414170052.55000001</v>
      </c>
    </row>
    <row r="75" spans="1:22" x14ac:dyDescent="0.2">
      <c r="A75" s="640" t="s">
        <v>97</v>
      </c>
      <c r="B75" s="637">
        <v>-110105151.68000001</v>
      </c>
      <c r="C75" s="637">
        <v>-17425600</v>
      </c>
      <c r="D75" s="637">
        <v>-32712800</v>
      </c>
      <c r="E75" s="637">
        <v>-20040212.07</v>
      </c>
      <c r="F75" s="637">
        <v>-29568601.170000002</v>
      </c>
      <c r="G75" s="637">
        <v>-13350836.539999999</v>
      </c>
      <c r="H75" s="637">
        <v>16217764.630000001</v>
      </c>
      <c r="I75" s="637">
        <v>304.66912623213398</v>
      </c>
      <c r="J75" s="637">
        <v>-32712800</v>
      </c>
      <c r="M75" s="640" t="s">
        <v>97</v>
      </c>
      <c r="N75" s="637">
        <v>201848938.87</v>
      </c>
      <c r="O75" s="637">
        <v>102513500</v>
      </c>
      <c r="P75" s="637">
        <v>103750433.37</v>
      </c>
      <c r="Q75" s="637">
        <v>6655116.7199999997</v>
      </c>
      <c r="R75" s="637">
        <v>77466105.109999999</v>
      </c>
      <c r="S75" s="637">
        <v>85090225.530000001</v>
      </c>
      <c r="T75" s="637">
        <v>7624120.4199999999</v>
      </c>
      <c r="U75" s="637">
        <v>8.9600425577812004</v>
      </c>
      <c r="V75" s="637">
        <v>103750433.37</v>
      </c>
    </row>
    <row r="76" spans="1:22" x14ac:dyDescent="0.2">
      <c r="A76" s="641" t="s">
        <v>1074</v>
      </c>
      <c r="B76" s="637">
        <v>-43514.74</v>
      </c>
      <c r="C76" s="637">
        <v>-13600</v>
      </c>
      <c r="D76" s="637">
        <v>-13800</v>
      </c>
      <c r="E76" s="637">
        <v>-1133.3399999999999</v>
      </c>
      <c r="F76" s="637">
        <v>-11333.4</v>
      </c>
      <c r="G76" s="637">
        <v>-11419.08</v>
      </c>
      <c r="H76" s="637">
        <v>-85.68</v>
      </c>
      <c r="I76" s="637">
        <v>-0.75032314337056905</v>
      </c>
      <c r="J76" s="637">
        <v>-13800</v>
      </c>
      <c r="M76" s="641" t="s">
        <v>1074</v>
      </c>
      <c r="N76" s="637">
        <v>1903100.06</v>
      </c>
      <c r="O76" s="637">
        <v>2525900</v>
      </c>
      <c r="P76" s="637">
        <v>2633239.96</v>
      </c>
      <c r="Q76" s="637">
        <v>165097.18</v>
      </c>
      <c r="R76" s="637">
        <v>1870212.48</v>
      </c>
      <c r="S76" s="637">
        <v>1887822.94</v>
      </c>
      <c r="T76" s="637">
        <v>17610.46</v>
      </c>
      <c r="U76" s="637">
        <v>0.93284489910902402</v>
      </c>
      <c r="V76" s="637">
        <v>2633239.96</v>
      </c>
    </row>
    <row r="77" spans="1:22" x14ac:dyDescent="0.2">
      <c r="A77" s="641" t="s">
        <v>1075</v>
      </c>
      <c r="B77" s="637">
        <v>-2180978.12</v>
      </c>
      <c r="C77" s="637">
        <v>-150100</v>
      </c>
      <c r="D77" s="637">
        <v>-150100</v>
      </c>
      <c r="E77" s="637">
        <v>-12508.33</v>
      </c>
      <c r="F77" s="637">
        <v>-125083.3</v>
      </c>
      <c r="G77" s="637">
        <v>-125083.33</v>
      </c>
      <c r="H77" s="637">
        <v>-0.03</v>
      </c>
      <c r="I77" s="637">
        <v>-2.3984011298707801E-5</v>
      </c>
      <c r="J77" s="637">
        <v>-150100</v>
      </c>
      <c r="M77" s="641" t="s">
        <v>1075</v>
      </c>
      <c r="N77" s="637">
        <v>24712913.140000001</v>
      </c>
      <c r="O77" s="637">
        <v>24642500</v>
      </c>
      <c r="P77" s="637">
        <v>24199900</v>
      </c>
      <c r="Q77" s="637">
        <v>1590500.52</v>
      </c>
      <c r="R77" s="637">
        <v>17269031.350000001</v>
      </c>
      <c r="S77" s="637">
        <v>19965855.280000001</v>
      </c>
      <c r="T77" s="637">
        <v>2696823.93</v>
      </c>
      <c r="U77" s="637">
        <v>13.5071795932601</v>
      </c>
      <c r="V77" s="637">
        <v>24199900</v>
      </c>
    </row>
    <row r="78" spans="1:22" x14ac:dyDescent="0.2">
      <c r="A78" s="641" t="s">
        <v>1076</v>
      </c>
      <c r="B78" s="637"/>
      <c r="C78" s="637"/>
      <c r="D78" s="637"/>
      <c r="E78" s="637"/>
      <c r="F78" s="637"/>
      <c r="G78" s="637"/>
      <c r="H78" s="637"/>
      <c r="I78" s="637"/>
      <c r="J78" s="637"/>
      <c r="M78" s="641" t="s">
        <v>1076</v>
      </c>
      <c r="N78" s="637"/>
      <c r="O78" s="637"/>
      <c r="P78" s="637"/>
      <c r="Q78" s="637"/>
      <c r="R78" s="637"/>
      <c r="S78" s="637"/>
      <c r="T78" s="637"/>
      <c r="U78" s="637"/>
      <c r="V78" s="637"/>
    </row>
    <row r="79" spans="1:22" x14ac:dyDescent="0.2">
      <c r="A79" s="641" t="s">
        <v>1077</v>
      </c>
      <c r="B79" s="637">
        <v>-100570210.08</v>
      </c>
      <c r="C79" s="637">
        <v>-1911700</v>
      </c>
      <c r="D79" s="637">
        <v>-2811700</v>
      </c>
      <c r="E79" s="637">
        <v>-181497.05</v>
      </c>
      <c r="F79" s="637">
        <v>-12451259.42</v>
      </c>
      <c r="G79" s="637">
        <v>-12659101.74</v>
      </c>
      <c r="H79" s="637">
        <v>-207842.32</v>
      </c>
      <c r="I79" s="637">
        <v>-1.6418409794690501</v>
      </c>
      <c r="J79" s="637">
        <v>-2811700</v>
      </c>
      <c r="M79" s="641" t="s">
        <v>1077</v>
      </c>
      <c r="N79" s="637">
        <v>5726001.9000000004</v>
      </c>
      <c r="O79" s="637">
        <v>4668500</v>
      </c>
      <c r="P79" s="637">
        <v>4682052.4800000004</v>
      </c>
      <c r="Q79" s="637">
        <v>208727.55</v>
      </c>
      <c r="R79" s="637">
        <v>4317263.83</v>
      </c>
      <c r="S79" s="637">
        <v>5125151.84</v>
      </c>
      <c r="T79" s="637">
        <v>807888.01</v>
      </c>
      <c r="U79" s="637">
        <v>15.7632014664369</v>
      </c>
      <c r="V79" s="637">
        <v>4682052.4800000004</v>
      </c>
    </row>
    <row r="80" spans="1:22" x14ac:dyDescent="0.2">
      <c r="A80" s="641" t="s">
        <v>1078</v>
      </c>
      <c r="B80" s="637">
        <v>-1087238.75</v>
      </c>
      <c r="C80" s="637">
        <v>-3245800</v>
      </c>
      <c r="D80" s="637">
        <v>-17145800</v>
      </c>
      <c r="E80" s="637">
        <v>-19442633.629999999</v>
      </c>
      <c r="F80" s="637">
        <v>-13188879.539999999</v>
      </c>
      <c r="G80" s="637">
        <v>5333181.82</v>
      </c>
      <c r="H80" s="637">
        <v>18522061.359999999</v>
      </c>
      <c r="I80" s="637">
        <v>347.29851681674</v>
      </c>
      <c r="J80" s="637">
        <v>-17145800</v>
      </c>
      <c r="M80" s="641" t="s">
        <v>1078</v>
      </c>
      <c r="N80" s="637">
        <v>138342900.41999999</v>
      </c>
      <c r="O80" s="637">
        <v>30928400</v>
      </c>
      <c r="P80" s="637">
        <v>29525489.02</v>
      </c>
      <c r="Q80" s="637">
        <v>2088557.97</v>
      </c>
      <c r="R80" s="637">
        <v>22581396.800000001</v>
      </c>
      <c r="S80" s="637">
        <v>23337673.059999999</v>
      </c>
      <c r="T80" s="637">
        <v>756276.26</v>
      </c>
      <c r="U80" s="637">
        <v>3.2405812612750702</v>
      </c>
      <c r="V80" s="637">
        <v>29525489.02</v>
      </c>
    </row>
    <row r="81" spans="1:22" x14ac:dyDescent="0.2">
      <c r="A81" s="641" t="s">
        <v>1079</v>
      </c>
      <c r="B81" s="637"/>
      <c r="C81" s="637"/>
      <c r="D81" s="637"/>
      <c r="E81" s="637"/>
      <c r="F81" s="637"/>
      <c r="G81" s="637"/>
      <c r="H81" s="637"/>
      <c r="I81" s="637"/>
      <c r="J81" s="637"/>
      <c r="M81" s="641" t="s">
        <v>1079</v>
      </c>
      <c r="N81" s="637"/>
      <c r="O81" s="637"/>
      <c r="P81" s="637"/>
      <c r="Q81" s="637"/>
      <c r="R81" s="637"/>
      <c r="S81" s="637"/>
      <c r="T81" s="637"/>
      <c r="U81" s="637"/>
      <c r="V81" s="637"/>
    </row>
    <row r="82" spans="1:22" x14ac:dyDescent="0.2">
      <c r="A82" s="641" t="s">
        <v>1581</v>
      </c>
      <c r="B82" s="637">
        <v>-2095058</v>
      </c>
      <c r="C82" s="637">
        <v>-1456400</v>
      </c>
      <c r="D82" s="637">
        <v>-1943100</v>
      </c>
      <c r="E82" s="637">
        <v>-179288.58</v>
      </c>
      <c r="F82" s="637">
        <v>-1818649.48</v>
      </c>
      <c r="G82" s="637">
        <v>-1598670.14</v>
      </c>
      <c r="H82" s="637">
        <v>219979.34</v>
      </c>
      <c r="I82" s="637">
        <v>13.760145667072999</v>
      </c>
      <c r="J82" s="637">
        <v>-1943100</v>
      </c>
      <c r="M82" s="641" t="s">
        <v>1581</v>
      </c>
      <c r="N82" s="637">
        <v>25122216.899999999</v>
      </c>
      <c r="O82" s="637">
        <v>27048000</v>
      </c>
      <c r="P82" s="637">
        <v>27823278.48</v>
      </c>
      <c r="Q82" s="637">
        <v>2256346.2999999998</v>
      </c>
      <c r="R82" s="637">
        <v>23169683.18</v>
      </c>
      <c r="S82" s="637">
        <v>23226590.760000002</v>
      </c>
      <c r="T82" s="637">
        <v>56907.58</v>
      </c>
      <c r="U82" s="637">
        <v>0.24501047350437799</v>
      </c>
      <c r="V82" s="637">
        <v>27823278.48</v>
      </c>
    </row>
    <row r="83" spans="1:22" x14ac:dyDescent="0.2">
      <c r="A83" s="641" t="s">
        <v>1081</v>
      </c>
      <c r="B83" s="637">
        <v>-4128151.99</v>
      </c>
      <c r="C83" s="637">
        <v>-10648000</v>
      </c>
      <c r="D83" s="637">
        <v>-10648300</v>
      </c>
      <c r="E83" s="637">
        <v>-223151.14</v>
      </c>
      <c r="F83" s="637">
        <v>-1973396.03</v>
      </c>
      <c r="G83" s="637">
        <v>-4289744.07</v>
      </c>
      <c r="H83" s="637">
        <v>-2316348.04</v>
      </c>
      <c r="I83" s="637">
        <v>-53.997348144827697</v>
      </c>
      <c r="J83" s="637">
        <v>-10648300</v>
      </c>
      <c r="M83" s="641" t="s">
        <v>1081</v>
      </c>
      <c r="N83" s="637">
        <v>6041806.4500000002</v>
      </c>
      <c r="O83" s="637">
        <v>12700200</v>
      </c>
      <c r="P83" s="637">
        <v>14886473.43</v>
      </c>
      <c r="Q83" s="637">
        <v>345887.2</v>
      </c>
      <c r="R83" s="637">
        <v>8258517.4699999997</v>
      </c>
      <c r="S83" s="637">
        <v>11547131.65</v>
      </c>
      <c r="T83" s="637">
        <v>3288614.18</v>
      </c>
      <c r="U83" s="637">
        <v>28.479922804032501</v>
      </c>
      <c r="V83" s="637">
        <v>14886473.43</v>
      </c>
    </row>
    <row r="84" spans="1:22" x14ac:dyDescent="0.2">
      <c r="A84" s="641" t="s">
        <v>1082</v>
      </c>
      <c r="B84" s="637"/>
      <c r="C84" s="637"/>
      <c r="D84" s="637"/>
      <c r="E84" s="637"/>
      <c r="F84" s="637"/>
      <c r="G84" s="637"/>
      <c r="H84" s="637"/>
      <c r="I84" s="637"/>
      <c r="J84" s="637"/>
      <c r="M84" s="641" t="s">
        <v>1082</v>
      </c>
      <c r="N84" s="637"/>
      <c r="O84" s="637"/>
      <c r="P84" s="637"/>
      <c r="Q84" s="637"/>
      <c r="R84" s="637"/>
      <c r="S84" s="637"/>
      <c r="T84" s="637"/>
      <c r="U84" s="637"/>
      <c r="V84" s="637"/>
    </row>
    <row r="85" spans="1:22" x14ac:dyDescent="0.2">
      <c r="A85" s="641" t="s">
        <v>1083</v>
      </c>
      <c r="B85" s="637"/>
      <c r="C85" s="637"/>
      <c r="D85" s="637"/>
      <c r="E85" s="637"/>
      <c r="F85" s="637"/>
      <c r="G85" s="637"/>
      <c r="H85" s="637"/>
      <c r="I85" s="637"/>
      <c r="J85" s="637"/>
      <c r="M85" s="641" t="s">
        <v>1083</v>
      </c>
      <c r="N85" s="637"/>
      <c r="O85" s="637"/>
      <c r="P85" s="637"/>
      <c r="Q85" s="637"/>
      <c r="R85" s="637"/>
      <c r="S85" s="637"/>
      <c r="T85" s="637"/>
      <c r="U85" s="637"/>
      <c r="V85" s="637"/>
    </row>
    <row r="86" spans="1:22" x14ac:dyDescent="0.2">
      <c r="A86" s="640" t="s">
        <v>98</v>
      </c>
      <c r="B86" s="637">
        <v>-78577135.189999998</v>
      </c>
      <c r="C86" s="637">
        <v>-58169700</v>
      </c>
      <c r="D86" s="637">
        <v>-58532500</v>
      </c>
      <c r="E86" s="637">
        <v>-2410104.69</v>
      </c>
      <c r="F86" s="637">
        <v>-57996697.259999998</v>
      </c>
      <c r="G86" s="637">
        <v>-56539213.390000001</v>
      </c>
      <c r="H86" s="637">
        <v>1457483.87</v>
      </c>
      <c r="I86" s="637">
        <v>4.7925311863708204</v>
      </c>
      <c r="J86" s="637">
        <v>-58532500</v>
      </c>
      <c r="M86" s="640" t="s">
        <v>98</v>
      </c>
      <c r="N86" s="637">
        <v>305702465.48000002</v>
      </c>
      <c r="O86" s="637">
        <v>309858600</v>
      </c>
      <c r="P86" s="637">
        <v>296594036.44999999</v>
      </c>
      <c r="Q86" s="637">
        <v>25164662.109999999</v>
      </c>
      <c r="R86" s="637">
        <v>249957965.19999999</v>
      </c>
      <c r="S86" s="637">
        <v>253953866.47999999</v>
      </c>
      <c r="T86" s="637">
        <v>3995901.28</v>
      </c>
      <c r="U86" s="637">
        <v>1.57347526753041</v>
      </c>
      <c r="V86" s="637">
        <v>296594036.44999999</v>
      </c>
    </row>
    <row r="87" spans="1:22" x14ac:dyDescent="0.2">
      <c r="A87" s="641" t="s">
        <v>1086</v>
      </c>
      <c r="B87" s="637">
        <v>-101644.24</v>
      </c>
      <c r="C87" s="637"/>
      <c r="D87" s="637"/>
      <c r="E87" s="637"/>
      <c r="F87" s="637"/>
      <c r="G87" s="637"/>
      <c r="H87" s="637"/>
      <c r="I87" s="637"/>
      <c r="J87" s="637"/>
      <c r="M87" s="641" t="s">
        <v>1086</v>
      </c>
      <c r="N87" s="637">
        <v>4585827.6500000004</v>
      </c>
      <c r="O87" s="637">
        <v>5470800</v>
      </c>
      <c r="P87" s="637">
        <v>5060900</v>
      </c>
      <c r="Q87" s="637">
        <v>404338.95</v>
      </c>
      <c r="R87" s="637">
        <v>4275865.18</v>
      </c>
      <c r="S87" s="637">
        <v>4289896.7699999996</v>
      </c>
      <c r="T87" s="637">
        <v>14031.59</v>
      </c>
      <c r="U87" s="637">
        <v>0.32708456059188601</v>
      </c>
      <c r="V87" s="637">
        <v>5060900</v>
      </c>
    </row>
    <row r="88" spans="1:22" x14ac:dyDescent="0.2">
      <c r="A88" s="641" t="s">
        <v>1087</v>
      </c>
      <c r="B88" s="637">
        <v>-13209934.689999999</v>
      </c>
      <c r="C88" s="637">
        <v>-12383500</v>
      </c>
      <c r="D88" s="637">
        <v>-12383600</v>
      </c>
      <c r="E88" s="637">
        <v>-1913240.68</v>
      </c>
      <c r="F88" s="637">
        <v>-11893404.59</v>
      </c>
      <c r="G88" s="637">
        <v>-10943277.6</v>
      </c>
      <c r="H88" s="637">
        <v>950126.99</v>
      </c>
      <c r="I88" s="637">
        <v>8.6822890246337199</v>
      </c>
      <c r="J88" s="637">
        <v>-12383600</v>
      </c>
      <c r="M88" s="641" t="s">
        <v>1087</v>
      </c>
      <c r="N88" s="637">
        <v>21367645.640000001</v>
      </c>
      <c r="O88" s="637">
        <v>22145100</v>
      </c>
      <c r="P88" s="637">
        <v>20943749.140000001</v>
      </c>
      <c r="Q88" s="637">
        <v>1700451.69</v>
      </c>
      <c r="R88" s="637">
        <v>16862900.030000001</v>
      </c>
      <c r="S88" s="637">
        <v>17083845.879999999</v>
      </c>
      <c r="T88" s="637">
        <v>220945.85</v>
      </c>
      <c r="U88" s="637">
        <v>1.2933027583599299</v>
      </c>
      <c r="V88" s="637">
        <v>20943749.140000001</v>
      </c>
    </row>
    <row r="89" spans="1:22" x14ac:dyDescent="0.2">
      <c r="A89" s="641" t="s">
        <v>150</v>
      </c>
      <c r="B89" s="637">
        <v>-56264679.049999997</v>
      </c>
      <c r="C89" s="637">
        <v>-30734800</v>
      </c>
      <c r="D89" s="637">
        <v>-30397500</v>
      </c>
      <c r="E89" s="637">
        <v>152525.41</v>
      </c>
      <c r="F89" s="637">
        <v>-32621971.32</v>
      </c>
      <c r="G89" s="637">
        <v>-30436321.5</v>
      </c>
      <c r="H89" s="637">
        <v>2185649.8199999998</v>
      </c>
      <c r="I89" s="637">
        <v>7.1810577372170297</v>
      </c>
      <c r="J89" s="637">
        <v>-30397500</v>
      </c>
      <c r="M89" s="641" t="s">
        <v>150</v>
      </c>
      <c r="N89" s="637">
        <v>274217895.52999997</v>
      </c>
      <c r="O89" s="637">
        <v>257747200</v>
      </c>
      <c r="P89" s="637">
        <v>259323518.41999999</v>
      </c>
      <c r="Q89" s="637">
        <v>21582963.66</v>
      </c>
      <c r="R89" s="637">
        <v>224475271.30000001</v>
      </c>
      <c r="S89" s="637">
        <v>226468628.88</v>
      </c>
      <c r="T89" s="637">
        <v>1993357.58</v>
      </c>
      <c r="U89" s="637">
        <v>0.88019148164500505</v>
      </c>
      <c r="V89" s="637">
        <v>259323518.41999999</v>
      </c>
    </row>
    <row r="90" spans="1:22" x14ac:dyDescent="0.2">
      <c r="A90" s="641" t="s">
        <v>1088</v>
      </c>
      <c r="B90" s="637">
        <v>-9000877.2100000009</v>
      </c>
      <c r="C90" s="637">
        <v>-15051400</v>
      </c>
      <c r="D90" s="637">
        <v>-15751400</v>
      </c>
      <c r="E90" s="637">
        <v>-649389.42000000004</v>
      </c>
      <c r="F90" s="637">
        <v>-13481321.35</v>
      </c>
      <c r="G90" s="637">
        <v>-15159614.289999999</v>
      </c>
      <c r="H90" s="637">
        <v>-1678292.94</v>
      </c>
      <c r="I90" s="637">
        <v>-11.0708155754799</v>
      </c>
      <c r="J90" s="637">
        <v>-15751400</v>
      </c>
      <c r="M90" s="641" t="s">
        <v>1088</v>
      </c>
      <c r="N90" s="637">
        <v>5531096.6600000001</v>
      </c>
      <c r="O90" s="637">
        <v>24495500</v>
      </c>
      <c r="P90" s="637">
        <v>11265868.890000001</v>
      </c>
      <c r="Q90" s="637">
        <v>1476907.81</v>
      </c>
      <c r="R90" s="637">
        <v>4343928.6900000004</v>
      </c>
      <c r="S90" s="637">
        <v>6111494.9500000002</v>
      </c>
      <c r="T90" s="637">
        <v>1767566.26</v>
      </c>
      <c r="U90" s="637">
        <v>28.921994936770801</v>
      </c>
      <c r="V90" s="637">
        <v>11265868.890000001</v>
      </c>
    </row>
    <row r="91" spans="1:22" x14ac:dyDescent="0.2">
      <c r="A91" s="640" t="s">
        <v>99</v>
      </c>
      <c r="B91" s="637">
        <v>-99614.46</v>
      </c>
      <c r="C91" s="637">
        <v>-65800</v>
      </c>
      <c r="D91" s="637">
        <v>-65900</v>
      </c>
      <c r="E91" s="637">
        <v>-4550</v>
      </c>
      <c r="F91" s="637">
        <v>-221611.81</v>
      </c>
      <c r="G91" s="637">
        <v>-221654.68</v>
      </c>
      <c r="H91" s="637">
        <v>-42.87</v>
      </c>
      <c r="I91" s="637">
        <v>-1.9340895486619099E-2</v>
      </c>
      <c r="J91" s="637">
        <v>-65900</v>
      </c>
      <c r="M91" s="640" t="s">
        <v>99</v>
      </c>
      <c r="N91" s="637">
        <v>5961227.96</v>
      </c>
      <c r="O91" s="637">
        <v>8279000</v>
      </c>
      <c r="P91" s="637">
        <v>13825582.73</v>
      </c>
      <c r="Q91" s="637">
        <v>1049108.3400000001</v>
      </c>
      <c r="R91" s="637">
        <v>6484625.54</v>
      </c>
      <c r="S91" s="637">
        <v>6424304.1900000004</v>
      </c>
      <c r="T91" s="637">
        <v>-60321.35</v>
      </c>
      <c r="U91" s="637">
        <v>-0.93895538280854596</v>
      </c>
      <c r="V91" s="637">
        <v>13825582.73</v>
      </c>
    </row>
    <row r="92" spans="1:22" x14ac:dyDescent="0.2">
      <c r="A92" s="641" t="s">
        <v>1089</v>
      </c>
      <c r="B92" s="637"/>
      <c r="C92" s="637"/>
      <c r="D92" s="637"/>
      <c r="E92" s="637"/>
      <c r="F92" s="637"/>
      <c r="G92" s="637"/>
      <c r="H92" s="637"/>
      <c r="I92" s="637"/>
      <c r="J92" s="637"/>
      <c r="M92" s="641" t="s">
        <v>1089</v>
      </c>
      <c r="N92" s="637"/>
      <c r="O92" s="637"/>
      <c r="P92" s="637"/>
      <c r="Q92" s="637"/>
      <c r="R92" s="637"/>
      <c r="S92" s="637"/>
      <c r="T92" s="637"/>
      <c r="U92" s="637"/>
      <c r="V92" s="637"/>
    </row>
    <row r="93" spans="1:22" x14ac:dyDescent="0.2">
      <c r="A93" s="641" t="s">
        <v>1090</v>
      </c>
      <c r="B93" s="637"/>
      <c r="C93" s="637"/>
      <c r="D93" s="637"/>
      <c r="E93" s="637"/>
      <c r="F93" s="637"/>
      <c r="G93" s="637"/>
      <c r="H93" s="637"/>
      <c r="I93" s="637"/>
      <c r="J93" s="637"/>
      <c r="M93" s="641" t="s">
        <v>1090</v>
      </c>
      <c r="N93" s="637">
        <v>31600</v>
      </c>
      <c r="O93" s="637">
        <v>4900</v>
      </c>
      <c r="P93" s="637">
        <v>6804700</v>
      </c>
      <c r="Q93" s="637">
        <v>583732.67000000004</v>
      </c>
      <c r="R93" s="637">
        <v>1861238.7</v>
      </c>
      <c r="S93" s="637">
        <v>915379.19</v>
      </c>
      <c r="T93" s="637">
        <v>-945859.51</v>
      </c>
      <c r="U93" s="637">
        <v>-103.329802592519</v>
      </c>
      <c r="V93" s="637">
        <v>6804700</v>
      </c>
    </row>
    <row r="94" spans="1:22" x14ac:dyDescent="0.2">
      <c r="A94" s="641" t="s">
        <v>1091</v>
      </c>
      <c r="B94" s="637"/>
      <c r="C94" s="637"/>
      <c r="D94" s="637"/>
      <c r="E94" s="637"/>
      <c r="F94" s="637"/>
      <c r="G94" s="637"/>
      <c r="H94" s="637"/>
      <c r="I94" s="637"/>
      <c r="J94" s="637"/>
      <c r="M94" s="641" t="s">
        <v>1091</v>
      </c>
      <c r="N94" s="637"/>
      <c r="O94" s="637"/>
      <c r="P94" s="637"/>
      <c r="Q94" s="637"/>
      <c r="R94" s="637"/>
      <c r="S94" s="637"/>
      <c r="T94" s="637"/>
      <c r="U94" s="637"/>
      <c r="V94" s="637"/>
    </row>
    <row r="95" spans="1:22" x14ac:dyDescent="0.2">
      <c r="A95" s="641" t="s">
        <v>1092</v>
      </c>
      <c r="B95" s="637"/>
      <c r="C95" s="637"/>
      <c r="D95" s="637"/>
      <c r="E95" s="637"/>
      <c r="F95" s="637"/>
      <c r="G95" s="637"/>
      <c r="H95" s="637"/>
      <c r="I95" s="637"/>
      <c r="J95" s="637"/>
      <c r="M95" s="641" t="s">
        <v>1092</v>
      </c>
      <c r="N95" s="637"/>
      <c r="O95" s="637"/>
      <c r="P95" s="637"/>
      <c r="Q95" s="637"/>
      <c r="R95" s="637"/>
      <c r="S95" s="637"/>
      <c r="T95" s="637"/>
      <c r="U95" s="637"/>
      <c r="V95" s="637"/>
    </row>
    <row r="96" spans="1:22" x14ac:dyDescent="0.2">
      <c r="A96" s="641" t="s">
        <v>151</v>
      </c>
      <c r="B96" s="637">
        <v>-99614.46</v>
      </c>
      <c r="C96" s="637">
        <v>-65800</v>
      </c>
      <c r="D96" s="637">
        <v>-65900</v>
      </c>
      <c r="E96" s="637">
        <v>-4550</v>
      </c>
      <c r="F96" s="637">
        <v>-221611.81</v>
      </c>
      <c r="G96" s="637">
        <v>-221654.68</v>
      </c>
      <c r="H96" s="637">
        <v>-42.87</v>
      </c>
      <c r="I96" s="637">
        <v>-1.9340895486619099E-2</v>
      </c>
      <c r="J96" s="637">
        <v>-65900</v>
      </c>
      <c r="M96" s="641" t="s">
        <v>151</v>
      </c>
      <c r="N96" s="637">
        <v>5929627.96</v>
      </c>
      <c r="O96" s="637">
        <v>8274100</v>
      </c>
      <c r="P96" s="637">
        <v>7020882.7300000004</v>
      </c>
      <c r="Q96" s="637">
        <v>465375.67</v>
      </c>
      <c r="R96" s="637">
        <v>4623386.84</v>
      </c>
      <c r="S96" s="637">
        <v>5508925</v>
      </c>
      <c r="T96" s="637">
        <v>885538.16</v>
      </c>
      <c r="U96" s="637">
        <v>16.074609111577999</v>
      </c>
      <c r="V96" s="637">
        <v>7020882.7300000004</v>
      </c>
    </row>
    <row r="97" spans="1:22" x14ac:dyDescent="0.2">
      <c r="A97" s="641" t="s">
        <v>1093</v>
      </c>
      <c r="B97" s="637"/>
      <c r="C97" s="637"/>
      <c r="D97" s="637"/>
      <c r="E97" s="637"/>
      <c r="F97" s="637"/>
      <c r="G97" s="637"/>
      <c r="H97" s="637"/>
      <c r="I97" s="637"/>
      <c r="J97" s="637"/>
      <c r="M97" s="641" t="s">
        <v>1093</v>
      </c>
      <c r="N97" s="637"/>
      <c r="O97" s="637"/>
      <c r="P97" s="637"/>
      <c r="Q97" s="637"/>
      <c r="R97" s="637"/>
      <c r="S97" s="637"/>
      <c r="T97" s="637"/>
      <c r="U97" s="637"/>
      <c r="V97" s="637"/>
    </row>
    <row r="98" spans="1:22" x14ac:dyDescent="0.2">
      <c r="A98" s="639" t="s">
        <v>100</v>
      </c>
      <c r="B98" s="637">
        <v>-3922614116.1999998</v>
      </c>
      <c r="C98" s="637">
        <v>-4547942000</v>
      </c>
      <c r="D98" s="637">
        <v>-4269019600</v>
      </c>
      <c r="E98" s="637">
        <v>-281637338.52999997</v>
      </c>
      <c r="F98" s="637">
        <v>-3518080077.7399998</v>
      </c>
      <c r="G98" s="637">
        <v>-3531156675.1799998</v>
      </c>
      <c r="H98" s="637">
        <v>-13076597.439999999</v>
      </c>
      <c r="I98" s="637">
        <v>118.26686982803101</v>
      </c>
      <c r="J98" s="637">
        <v>-4269019600</v>
      </c>
      <c r="M98" s="639" t="s">
        <v>100</v>
      </c>
      <c r="N98" s="637">
        <v>3706098969.2800002</v>
      </c>
      <c r="O98" s="637">
        <v>4212323900</v>
      </c>
      <c r="P98" s="637">
        <v>4135834516.4699998</v>
      </c>
      <c r="Q98" s="637">
        <v>279591909.91000003</v>
      </c>
      <c r="R98" s="637">
        <v>3451844410.23</v>
      </c>
      <c r="S98" s="637">
        <v>3452668923.71</v>
      </c>
      <c r="T98" s="637">
        <v>824513.48</v>
      </c>
      <c r="U98" s="637">
        <v>2.38804674939419E-2</v>
      </c>
      <c r="V98" s="637">
        <v>4135834516.4699998</v>
      </c>
    </row>
    <row r="99" spans="1:22" x14ac:dyDescent="0.2">
      <c r="A99" s="640" t="s">
        <v>1094</v>
      </c>
      <c r="B99" s="637">
        <v>-2112825148.0999999</v>
      </c>
      <c r="C99" s="637">
        <v>-2626071100</v>
      </c>
      <c r="D99" s="637">
        <v>-2439519200</v>
      </c>
      <c r="E99" s="637">
        <v>-197159438.38999999</v>
      </c>
      <c r="F99" s="637">
        <v>-2008740228.3699999</v>
      </c>
      <c r="G99" s="637">
        <v>-1961275578.98</v>
      </c>
      <c r="H99" s="637">
        <v>47464649.390000001</v>
      </c>
      <c r="I99" s="637">
        <v>67.643558116256202</v>
      </c>
      <c r="J99" s="637">
        <v>-2439519200</v>
      </c>
      <c r="M99" s="640" t="s">
        <v>1094</v>
      </c>
      <c r="N99" s="637">
        <v>1891890496.0599999</v>
      </c>
      <c r="O99" s="637">
        <v>2373236500</v>
      </c>
      <c r="P99" s="637">
        <v>2309105195.4699998</v>
      </c>
      <c r="Q99" s="637">
        <v>157148304.75</v>
      </c>
      <c r="R99" s="637">
        <v>1906294771.71</v>
      </c>
      <c r="S99" s="637">
        <v>1910260572.5699999</v>
      </c>
      <c r="T99" s="637">
        <v>3965800.86</v>
      </c>
      <c r="U99" s="637">
        <v>0.20760523024691599</v>
      </c>
      <c r="V99" s="637">
        <v>2309105195.4699998</v>
      </c>
    </row>
    <row r="100" spans="1:22" x14ac:dyDescent="0.2">
      <c r="A100" s="641" t="s">
        <v>1582</v>
      </c>
      <c r="B100" s="637">
        <v>-2107570369.74</v>
      </c>
      <c r="C100" s="637">
        <v>-2620841300</v>
      </c>
      <c r="D100" s="637">
        <v>-2434289300</v>
      </c>
      <c r="E100" s="637">
        <v>-197119638.38999999</v>
      </c>
      <c r="F100" s="637">
        <v>-2007652848.3699999</v>
      </c>
      <c r="G100" s="637">
        <v>-1960617536.1099999</v>
      </c>
      <c r="H100" s="637">
        <v>47035312.259999998</v>
      </c>
      <c r="I100" s="637">
        <v>2.3990049764280501</v>
      </c>
      <c r="J100" s="637">
        <v>-2434289300</v>
      </c>
      <c r="M100" s="641" t="s">
        <v>1582</v>
      </c>
      <c r="N100" s="637">
        <v>1834745153.72</v>
      </c>
      <c r="O100" s="637">
        <v>2302274400</v>
      </c>
      <c r="P100" s="637">
        <v>2240505677.6900001</v>
      </c>
      <c r="Q100" s="637">
        <v>151294064.84999999</v>
      </c>
      <c r="R100" s="637">
        <v>1854941963.8099999</v>
      </c>
      <c r="S100" s="637">
        <v>1855429676.28</v>
      </c>
      <c r="T100" s="637">
        <v>487712.47</v>
      </c>
      <c r="U100" s="637">
        <v>2.62856887671339E-2</v>
      </c>
      <c r="V100" s="637">
        <v>2240505677.6900001</v>
      </c>
    </row>
    <row r="101" spans="1:22" x14ac:dyDescent="0.2">
      <c r="A101" s="641" t="s">
        <v>1096</v>
      </c>
      <c r="B101" s="637">
        <v>-5254778.3600000003</v>
      </c>
      <c r="C101" s="637">
        <v>-5229800</v>
      </c>
      <c r="D101" s="637">
        <v>-5229900</v>
      </c>
      <c r="E101" s="637">
        <v>-39800</v>
      </c>
      <c r="F101" s="637">
        <v>-1087380</v>
      </c>
      <c r="G101" s="637">
        <v>-658042.87</v>
      </c>
      <c r="H101" s="637">
        <v>429337.13</v>
      </c>
      <c r="I101" s="637">
        <v>65.244553139828099</v>
      </c>
      <c r="J101" s="637">
        <v>-5229900</v>
      </c>
      <c r="M101" s="641" t="s">
        <v>1096</v>
      </c>
      <c r="N101" s="637">
        <v>57145342.340000004</v>
      </c>
      <c r="O101" s="637">
        <v>70962100</v>
      </c>
      <c r="P101" s="637">
        <v>68599517.780000001</v>
      </c>
      <c r="Q101" s="637">
        <v>5854239.9000000004</v>
      </c>
      <c r="R101" s="637">
        <v>51352807.899999999</v>
      </c>
      <c r="S101" s="637">
        <v>54830896.289999999</v>
      </c>
      <c r="T101" s="637">
        <v>3478088.39</v>
      </c>
      <c r="U101" s="637">
        <v>6.3433002656101598</v>
      </c>
      <c r="V101" s="637">
        <v>68599517.780000001</v>
      </c>
    </row>
    <row r="102" spans="1:22" x14ac:dyDescent="0.2">
      <c r="A102" s="641" t="s">
        <v>1097</v>
      </c>
      <c r="B102" s="637"/>
      <c r="C102" s="637"/>
      <c r="D102" s="637"/>
      <c r="E102" s="637"/>
      <c r="F102" s="637"/>
      <c r="G102" s="637"/>
      <c r="H102" s="637"/>
      <c r="I102" s="637"/>
      <c r="J102" s="637"/>
      <c r="M102" s="641" t="s">
        <v>1097</v>
      </c>
      <c r="N102" s="637"/>
      <c r="O102" s="637"/>
      <c r="P102" s="637"/>
      <c r="Q102" s="637"/>
      <c r="R102" s="637"/>
      <c r="S102" s="637"/>
      <c r="T102" s="637"/>
      <c r="U102" s="637"/>
      <c r="V102" s="637"/>
    </row>
    <row r="103" spans="1:22" x14ac:dyDescent="0.2">
      <c r="A103" s="640" t="s">
        <v>1098</v>
      </c>
      <c r="B103" s="637">
        <v>-1313685310.6199999</v>
      </c>
      <c r="C103" s="637">
        <v>-1387082300</v>
      </c>
      <c r="D103" s="637">
        <v>-1326659500</v>
      </c>
      <c r="E103" s="637">
        <v>-57315160.579999998</v>
      </c>
      <c r="F103" s="637">
        <v>-1052446142.27</v>
      </c>
      <c r="G103" s="637">
        <v>-1107755092.72</v>
      </c>
      <c r="H103" s="637">
        <v>-55308950.450000003</v>
      </c>
      <c r="I103" s="637">
        <v>-58.098388039914603</v>
      </c>
      <c r="J103" s="637">
        <v>-1326659500</v>
      </c>
      <c r="M103" s="640" t="s">
        <v>1098</v>
      </c>
      <c r="N103" s="637">
        <v>1286469081.78</v>
      </c>
      <c r="O103" s="637">
        <v>1279646700</v>
      </c>
      <c r="P103" s="637">
        <v>1270749340.3399999</v>
      </c>
      <c r="Q103" s="637">
        <v>84821533.879999995</v>
      </c>
      <c r="R103" s="637">
        <v>1102068901.29</v>
      </c>
      <c r="S103" s="637">
        <v>1083511333.5999999</v>
      </c>
      <c r="T103" s="637">
        <v>-18557567.690000001</v>
      </c>
      <c r="U103" s="637">
        <v>-1.7127248340210599</v>
      </c>
      <c r="V103" s="637">
        <v>1270749340.3399999</v>
      </c>
    </row>
    <row r="104" spans="1:22" x14ac:dyDescent="0.2">
      <c r="A104" s="641" t="s">
        <v>1099</v>
      </c>
      <c r="B104" s="637">
        <v>-675083.29</v>
      </c>
      <c r="C104" s="637">
        <v>-3160300</v>
      </c>
      <c r="D104" s="637">
        <v>-3160500</v>
      </c>
      <c r="E104" s="637">
        <v>-54684.76</v>
      </c>
      <c r="F104" s="637">
        <v>-546993.96</v>
      </c>
      <c r="G104" s="637">
        <v>-1167700.79</v>
      </c>
      <c r="H104" s="637">
        <v>-620706.82999999996</v>
      </c>
      <c r="I104" s="637">
        <v>-53.156325260343401</v>
      </c>
      <c r="J104" s="637">
        <v>-3160500</v>
      </c>
      <c r="M104" s="641" t="s">
        <v>1099</v>
      </c>
      <c r="N104" s="637">
        <v>-2159984.4500000002</v>
      </c>
      <c r="O104" s="637">
        <v>-4873000</v>
      </c>
      <c r="P104" s="637">
        <v>-6522173.7699999996</v>
      </c>
      <c r="Q104" s="637">
        <v>-1076245.23</v>
      </c>
      <c r="R104" s="637">
        <v>-6727519.0099999998</v>
      </c>
      <c r="S104" s="637">
        <v>-7046385.4000000004</v>
      </c>
      <c r="T104" s="637">
        <v>-318866.39</v>
      </c>
      <c r="U104" s="637">
        <v>-4.5252476539247999</v>
      </c>
      <c r="V104" s="637">
        <v>-6522173.7699999996</v>
      </c>
    </row>
    <row r="105" spans="1:22" x14ac:dyDescent="0.2">
      <c r="A105" s="641" t="s">
        <v>152</v>
      </c>
      <c r="B105" s="637">
        <v>-1313010227.3299999</v>
      </c>
      <c r="C105" s="637">
        <v>-1383922000</v>
      </c>
      <c r="D105" s="637">
        <v>-1323499000</v>
      </c>
      <c r="E105" s="637">
        <v>-57260475.82</v>
      </c>
      <c r="F105" s="637">
        <v>-1051899148.3099999</v>
      </c>
      <c r="G105" s="637">
        <v>-1106587391.9300001</v>
      </c>
      <c r="H105" s="637">
        <v>-54688243.619999997</v>
      </c>
      <c r="I105" s="637">
        <v>-4.94206277957118</v>
      </c>
      <c r="J105" s="637">
        <v>-1323499000</v>
      </c>
      <c r="M105" s="641" t="s">
        <v>152</v>
      </c>
      <c r="N105" s="637">
        <v>1288629066.23</v>
      </c>
      <c r="O105" s="637">
        <v>1284519700</v>
      </c>
      <c r="P105" s="637">
        <v>1277271514.1099999</v>
      </c>
      <c r="Q105" s="637">
        <v>85897779.109999999</v>
      </c>
      <c r="R105" s="637">
        <v>1108796420.3</v>
      </c>
      <c r="S105" s="637">
        <v>1090557719</v>
      </c>
      <c r="T105" s="637">
        <v>-18238701.300000001</v>
      </c>
      <c r="U105" s="637">
        <v>-1.67241962366964</v>
      </c>
      <c r="V105" s="637">
        <v>1277271514.1099999</v>
      </c>
    </row>
    <row r="106" spans="1:22" x14ac:dyDescent="0.2">
      <c r="A106" s="641" t="s">
        <v>153</v>
      </c>
      <c r="B106" s="637"/>
      <c r="C106" s="637"/>
      <c r="D106" s="637"/>
      <c r="E106" s="637"/>
      <c r="F106" s="637"/>
      <c r="G106" s="637"/>
      <c r="H106" s="637"/>
      <c r="I106" s="637"/>
      <c r="J106" s="637"/>
      <c r="M106" s="641" t="s">
        <v>153</v>
      </c>
      <c r="N106" s="637"/>
      <c r="O106" s="637"/>
      <c r="P106" s="637"/>
      <c r="Q106" s="637"/>
      <c r="R106" s="637"/>
      <c r="S106" s="637"/>
      <c r="T106" s="637"/>
      <c r="U106" s="637"/>
      <c r="V106" s="637"/>
    </row>
    <row r="107" spans="1:22" x14ac:dyDescent="0.2">
      <c r="A107" s="640" t="s">
        <v>101</v>
      </c>
      <c r="B107" s="637">
        <v>-271259835.32999998</v>
      </c>
      <c r="C107" s="637">
        <v>-292822100</v>
      </c>
      <c r="D107" s="637">
        <v>-263693300</v>
      </c>
      <c r="E107" s="637">
        <v>-16381488.84</v>
      </c>
      <c r="F107" s="637">
        <v>-243871297.38999999</v>
      </c>
      <c r="G107" s="637">
        <v>-242878160.87</v>
      </c>
      <c r="H107" s="637">
        <v>993136.52</v>
      </c>
      <c r="I107" s="637">
        <v>149.465511130718</v>
      </c>
      <c r="J107" s="637">
        <v>-263693300</v>
      </c>
      <c r="M107" s="640" t="s">
        <v>101</v>
      </c>
      <c r="N107" s="637">
        <v>336417998.94999999</v>
      </c>
      <c r="O107" s="637">
        <v>347627800</v>
      </c>
      <c r="P107" s="637">
        <v>351521681.99000001</v>
      </c>
      <c r="Q107" s="637">
        <v>23416977.940000001</v>
      </c>
      <c r="R107" s="637">
        <v>282612635.48000002</v>
      </c>
      <c r="S107" s="637">
        <v>295491976.12</v>
      </c>
      <c r="T107" s="637">
        <v>12879340.640000001</v>
      </c>
      <c r="U107" s="637">
        <v>4.3586092621241503</v>
      </c>
      <c r="V107" s="637">
        <v>351521681.99000001</v>
      </c>
    </row>
    <row r="108" spans="1:22" x14ac:dyDescent="0.2">
      <c r="A108" s="641" t="s">
        <v>156</v>
      </c>
      <c r="B108" s="637">
        <v>-55729.49</v>
      </c>
      <c r="C108" s="637">
        <v>-27300</v>
      </c>
      <c r="D108" s="637">
        <v>-27400</v>
      </c>
      <c r="E108" s="637">
        <v>-2275</v>
      </c>
      <c r="F108" s="637">
        <v>-22750</v>
      </c>
      <c r="G108" s="637">
        <v>-22792.87</v>
      </c>
      <c r="H108" s="637">
        <v>-42.87</v>
      </c>
      <c r="I108" s="637">
        <v>-0.18808513364047599</v>
      </c>
      <c r="J108" s="637">
        <v>-27400</v>
      </c>
      <c r="M108" s="641" t="s">
        <v>156</v>
      </c>
      <c r="N108" s="637">
        <v>2066999.92</v>
      </c>
      <c r="O108" s="637">
        <v>3405600</v>
      </c>
      <c r="P108" s="637">
        <v>3254288.63</v>
      </c>
      <c r="Q108" s="637">
        <v>262067.07</v>
      </c>
      <c r="R108" s="637">
        <v>2677276.5299999998</v>
      </c>
      <c r="S108" s="637">
        <v>2737986.72</v>
      </c>
      <c r="T108" s="637">
        <v>60710.19</v>
      </c>
      <c r="U108" s="637">
        <v>2.21732960048835</v>
      </c>
      <c r="V108" s="637">
        <v>3254288.63</v>
      </c>
    </row>
    <row r="109" spans="1:22" x14ac:dyDescent="0.2">
      <c r="A109" s="641" t="s">
        <v>154</v>
      </c>
      <c r="B109" s="637">
        <v>-270415614.64999998</v>
      </c>
      <c r="C109" s="637">
        <v>-291939300</v>
      </c>
      <c r="D109" s="637">
        <v>-255540400</v>
      </c>
      <c r="E109" s="637">
        <v>-12169110.51</v>
      </c>
      <c r="F109" s="637">
        <v>-234872048.06999999</v>
      </c>
      <c r="G109" s="637">
        <v>-239098806.81</v>
      </c>
      <c r="H109" s="637">
        <v>-4226758.74</v>
      </c>
      <c r="I109" s="637">
        <v>-1.7677874667767799</v>
      </c>
      <c r="J109" s="637">
        <v>-255540400</v>
      </c>
      <c r="M109" s="641" t="s">
        <v>154</v>
      </c>
      <c r="N109" s="637">
        <v>199308618.81999999</v>
      </c>
      <c r="O109" s="637">
        <v>209685000</v>
      </c>
      <c r="P109" s="637">
        <v>206964676.47999999</v>
      </c>
      <c r="Q109" s="637">
        <v>13009424.550000001</v>
      </c>
      <c r="R109" s="637">
        <v>162000324.66</v>
      </c>
      <c r="S109" s="637">
        <v>169447089.97999999</v>
      </c>
      <c r="T109" s="637">
        <v>7446765.3200000003</v>
      </c>
      <c r="U109" s="637">
        <v>4.3947437048809403</v>
      </c>
      <c r="V109" s="637">
        <v>206964676.47999999</v>
      </c>
    </row>
    <row r="110" spans="1:22" x14ac:dyDescent="0.2">
      <c r="A110" s="641" t="s">
        <v>155</v>
      </c>
      <c r="B110" s="637">
        <v>-29414.74</v>
      </c>
      <c r="C110" s="637">
        <v>-484500</v>
      </c>
      <c r="D110" s="637">
        <v>-7754500</v>
      </c>
      <c r="E110" s="637">
        <v>-4179185.92</v>
      </c>
      <c r="F110" s="637">
        <v>-8667314.0399999991</v>
      </c>
      <c r="G110" s="637">
        <v>-3447390.52</v>
      </c>
      <c r="H110" s="637">
        <v>5219923.5199999996</v>
      </c>
      <c r="I110" s="637">
        <v>151.41665818585599</v>
      </c>
      <c r="J110" s="637">
        <v>-7754500</v>
      </c>
      <c r="M110" s="641" t="s">
        <v>155</v>
      </c>
      <c r="N110" s="637">
        <v>37737038.799999997</v>
      </c>
      <c r="O110" s="637">
        <v>38351000</v>
      </c>
      <c r="P110" s="637">
        <v>40266353.18</v>
      </c>
      <c r="Q110" s="637">
        <v>2621957.0099999998</v>
      </c>
      <c r="R110" s="637">
        <v>33916863.259999998</v>
      </c>
      <c r="S110" s="637">
        <v>35604189.789999999</v>
      </c>
      <c r="T110" s="637">
        <v>1687326.53</v>
      </c>
      <c r="U110" s="637">
        <v>4.7391235131375202</v>
      </c>
      <c r="V110" s="637">
        <v>40266353.18</v>
      </c>
    </row>
    <row r="111" spans="1:22" x14ac:dyDescent="0.2">
      <c r="A111" s="641" t="s">
        <v>1100</v>
      </c>
      <c r="B111" s="637">
        <v>-759076.45</v>
      </c>
      <c r="C111" s="637">
        <v>-371000</v>
      </c>
      <c r="D111" s="637">
        <v>-371000</v>
      </c>
      <c r="E111" s="637">
        <v>-30917.41</v>
      </c>
      <c r="F111" s="637">
        <v>-309185.28000000003</v>
      </c>
      <c r="G111" s="637">
        <v>-309170.67</v>
      </c>
      <c r="H111" s="637">
        <v>14.61</v>
      </c>
      <c r="I111" s="637">
        <v>4.7255452789231297E-3</v>
      </c>
      <c r="J111" s="637">
        <v>-371000</v>
      </c>
      <c r="M111" s="641" t="s">
        <v>1100</v>
      </c>
      <c r="N111" s="637">
        <v>97305341.409999996</v>
      </c>
      <c r="O111" s="637">
        <v>96186200</v>
      </c>
      <c r="P111" s="637">
        <v>101036363.7</v>
      </c>
      <c r="Q111" s="637">
        <v>7523529.3099999996</v>
      </c>
      <c r="R111" s="637">
        <v>84018171.030000001</v>
      </c>
      <c r="S111" s="637">
        <v>87702709.629999995</v>
      </c>
      <c r="T111" s="637">
        <v>3684538.6</v>
      </c>
      <c r="U111" s="637">
        <v>4.2011684878885998</v>
      </c>
      <c r="V111" s="637">
        <v>101036363.7</v>
      </c>
    </row>
    <row r="112" spans="1:22" x14ac:dyDescent="0.2">
      <c r="A112" s="640" t="s">
        <v>102</v>
      </c>
      <c r="B112" s="637">
        <v>-224843822.15000001</v>
      </c>
      <c r="C112" s="637">
        <v>-241966500</v>
      </c>
      <c r="D112" s="637">
        <v>-239147600</v>
      </c>
      <c r="E112" s="637">
        <v>-10781250.720000001</v>
      </c>
      <c r="F112" s="637">
        <v>-213022409.71000001</v>
      </c>
      <c r="G112" s="637">
        <v>-219247842.61000001</v>
      </c>
      <c r="H112" s="637">
        <v>-6225432.9000000004</v>
      </c>
      <c r="I112" s="637">
        <v>-40.7438113790285</v>
      </c>
      <c r="J112" s="637">
        <v>-239147600</v>
      </c>
      <c r="M112" s="640" t="s">
        <v>102</v>
      </c>
      <c r="N112" s="637">
        <v>191321392.49000001</v>
      </c>
      <c r="O112" s="637">
        <v>211812900</v>
      </c>
      <c r="P112" s="637">
        <v>204458298.66999999</v>
      </c>
      <c r="Q112" s="637">
        <v>14205093.34</v>
      </c>
      <c r="R112" s="637">
        <v>160868101.75</v>
      </c>
      <c r="S112" s="637">
        <v>163405041.41999999</v>
      </c>
      <c r="T112" s="637">
        <v>2536939.67</v>
      </c>
      <c r="U112" s="637">
        <v>1.5525467561795101</v>
      </c>
      <c r="V112" s="637">
        <v>204458298.66999999</v>
      </c>
    </row>
    <row r="113" spans="1:22" x14ac:dyDescent="0.2">
      <c r="A113" s="641" t="s">
        <v>1101</v>
      </c>
      <c r="B113" s="637"/>
      <c r="C113" s="637"/>
      <c r="D113" s="637"/>
      <c r="E113" s="637"/>
      <c r="F113" s="637"/>
      <c r="G113" s="637"/>
      <c r="H113" s="637"/>
      <c r="I113" s="637"/>
      <c r="J113" s="637"/>
      <c r="M113" s="641" t="s">
        <v>1101</v>
      </c>
      <c r="N113" s="637"/>
      <c r="O113" s="637"/>
      <c r="P113" s="637"/>
      <c r="Q113" s="637"/>
      <c r="R113" s="637"/>
      <c r="S113" s="637"/>
      <c r="T113" s="637"/>
      <c r="U113" s="637"/>
      <c r="V113" s="637"/>
    </row>
    <row r="114" spans="1:22" x14ac:dyDescent="0.2">
      <c r="A114" s="641" t="s">
        <v>1102</v>
      </c>
      <c r="B114" s="637"/>
      <c r="C114" s="637"/>
      <c r="D114" s="637"/>
      <c r="E114" s="637"/>
      <c r="F114" s="637"/>
      <c r="G114" s="637"/>
      <c r="H114" s="637"/>
      <c r="I114" s="637"/>
      <c r="J114" s="637"/>
      <c r="M114" s="641" t="s">
        <v>1102</v>
      </c>
      <c r="N114" s="637"/>
      <c r="O114" s="637"/>
      <c r="P114" s="637"/>
      <c r="Q114" s="637"/>
      <c r="R114" s="637"/>
      <c r="S114" s="637"/>
      <c r="T114" s="637"/>
      <c r="U114" s="637"/>
      <c r="V114" s="637"/>
    </row>
    <row r="115" spans="1:22" x14ac:dyDescent="0.2">
      <c r="A115" s="641" t="s">
        <v>1103</v>
      </c>
      <c r="B115" s="637">
        <v>-222890114.58000001</v>
      </c>
      <c r="C115" s="637">
        <v>-240789400</v>
      </c>
      <c r="D115" s="637">
        <v>-237370400</v>
      </c>
      <c r="E115" s="637">
        <v>-10684009.050000001</v>
      </c>
      <c r="F115" s="637">
        <v>-212049993.00999999</v>
      </c>
      <c r="G115" s="637">
        <v>-217675383.06999999</v>
      </c>
      <c r="H115" s="637">
        <v>-5625390.0599999996</v>
      </c>
      <c r="I115" s="637">
        <v>-2.5843023591652501</v>
      </c>
      <c r="J115" s="637">
        <v>-237370400</v>
      </c>
      <c r="M115" s="641" t="s">
        <v>1103</v>
      </c>
      <c r="N115" s="637">
        <v>146131408.72</v>
      </c>
      <c r="O115" s="637">
        <v>163661400</v>
      </c>
      <c r="P115" s="637">
        <v>156977670.06999999</v>
      </c>
      <c r="Q115" s="637">
        <v>11090058.42</v>
      </c>
      <c r="R115" s="637">
        <v>126022814.61</v>
      </c>
      <c r="S115" s="637">
        <v>127299840.56</v>
      </c>
      <c r="T115" s="637">
        <v>1277025.95</v>
      </c>
      <c r="U115" s="637">
        <v>1.00316382517235</v>
      </c>
      <c r="V115" s="637">
        <v>156977670.06999999</v>
      </c>
    </row>
    <row r="116" spans="1:22" x14ac:dyDescent="0.2">
      <c r="A116" s="641" t="s">
        <v>1104</v>
      </c>
      <c r="B116" s="637">
        <v>-1953707.57</v>
      </c>
      <c r="C116" s="637">
        <v>-1177100</v>
      </c>
      <c r="D116" s="637">
        <v>-1777200</v>
      </c>
      <c r="E116" s="637">
        <v>-97241.67</v>
      </c>
      <c r="F116" s="637">
        <v>-972416.7</v>
      </c>
      <c r="G116" s="637">
        <v>-1572459.54</v>
      </c>
      <c r="H116" s="637">
        <v>-600042.84</v>
      </c>
      <c r="I116" s="637">
        <v>-38.159509019863201</v>
      </c>
      <c r="J116" s="637">
        <v>-1777200</v>
      </c>
      <c r="M116" s="641" t="s">
        <v>1104</v>
      </c>
      <c r="N116" s="637">
        <v>45189983.770000003</v>
      </c>
      <c r="O116" s="637">
        <v>48151500</v>
      </c>
      <c r="P116" s="637">
        <v>47480628.600000001</v>
      </c>
      <c r="Q116" s="637">
        <v>3115034.92</v>
      </c>
      <c r="R116" s="637">
        <v>34845287.140000001</v>
      </c>
      <c r="S116" s="637">
        <v>36105200.859999999</v>
      </c>
      <c r="T116" s="637">
        <v>1259913.72</v>
      </c>
      <c r="U116" s="637">
        <v>3.48956297151036</v>
      </c>
      <c r="V116" s="637">
        <v>47480628.600000001</v>
      </c>
    </row>
    <row r="117" spans="1:22" x14ac:dyDescent="0.2">
      <c r="A117" s="639" t="s">
        <v>666</v>
      </c>
      <c r="B117" s="637">
        <v>-5679325.1799999997</v>
      </c>
      <c r="C117" s="637">
        <v>-9903200</v>
      </c>
      <c r="D117" s="637">
        <v>-5815300</v>
      </c>
      <c r="E117" s="637">
        <v>-791689.96</v>
      </c>
      <c r="F117" s="637">
        <v>-5304046.03</v>
      </c>
      <c r="G117" s="637">
        <v>-7136241.3099999996</v>
      </c>
      <c r="H117" s="637">
        <v>-1832195.28</v>
      </c>
      <c r="I117" s="637">
        <v>-23.734244662237</v>
      </c>
      <c r="J117" s="637">
        <v>-5815300</v>
      </c>
      <c r="M117" s="639" t="s">
        <v>666</v>
      </c>
      <c r="N117" s="637">
        <v>29409120.780000001</v>
      </c>
      <c r="O117" s="637">
        <v>33299900</v>
      </c>
      <c r="P117" s="637">
        <v>35612790.549999997</v>
      </c>
      <c r="Q117" s="637">
        <v>2072927.32</v>
      </c>
      <c r="R117" s="637">
        <v>27401457.41</v>
      </c>
      <c r="S117" s="637">
        <v>29288866.010000002</v>
      </c>
      <c r="T117" s="637">
        <v>1887408.6</v>
      </c>
      <c r="U117" s="637">
        <v>6.4441163388011997</v>
      </c>
      <c r="V117" s="637">
        <v>35612790.549999997</v>
      </c>
    </row>
    <row r="118" spans="1:22" x14ac:dyDescent="0.2">
      <c r="A118" s="656" t="s">
        <v>401</v>
      </c>
      <c r="B118" s="637"/>
      <c r="C118" s="637"/>
      <c r="D118" s="637"/>
      <c r="E118" s="637"/>
      <c r="F118" s="637"/>
      <c r="G118" s="637"/>
      <c r="H118" s="637"/>
      <c r="I118" s="637"/>
      <c r="J118" s="637"/>
      <c r="M118" s="656" t="s">
        <v>401</v>
      </c>
      <c r="N118" s="637"/>
      <c r="O118" s="637"/>
      <c r="P118" s="637"/>
      <c r="Q118" s="637"/>
      <c r="R118" s="637"/>
      <c r="S118" s="637"/>
      <c r="T118" s="637"/>
      <c r="U118" s="637"/>
      <c r="V118" s="637"/>
    </row>
    <row r="119" spans="1:22" x14ac:dyDescent="0.2">
      <c r="A119" s="656" t="s">
        <v>157</v>
      </c>
      <c r="B119" s="637">
        <v>-5473223.0899999999</v>
      </c>
      <c r="C119" s="637">
        <v>-9616500</v>
      </c>
      <c r="D119" s="637">
        <v>-5616500</v>
      </c>
      <c r="E119" s="637">
        <v>-779383.08</v>
      </c>
      <c r="F119" s="637">
        <v>-5062655.87</v>
      </c>
      <c r="G119" s="637">
        <v>-6900667.3899999997</v>
      </c>
      <c r="H119" s="637">
        <v>-1838011.52</v>
      </c>
      <c r="I119" s="637">
        <v>-26.635271867522899</v>
      </c>
      <c r="J119" s="637">
        <v>-5616500</v>
      </c>
      <c r="M119" s="656" t="s">
        <v>157</v>
      </c>
      <c r="N119" s="637">
        <v>25038408.289999999</v>
      </c>
      <c r="O119" s="637">
        <v>28295000</v>
      </c>
      <c r="P119" s="637">
        <v>30625990.539999999</v>
      </c>
      <c r="Q119" s="637">
        <v>1681806.06</v>
      </c>
      <c r="R119" s="637">
        <v>23402289.760000002</v>
      </c>
      <c r="S119" s="637">
        <v>25200758.77</v>
      </c>
      <c r="T119" s="637">
        <v>1798469.01</v>
      </c>
      <c r="U119" s="637">
        <v>7.1365669042511897</v>
      </c>
      <c r="V119" s="637">
        <v>30625990.539999999</v>
      </c>
    </row>
    <row r="120" spans="1:22" x14ac:dyDescent="0.2">
      <c r="A120" s="656" t="s">
        <v>1583</v>
      </c>
      <c r="B120" s="637"/>
      <c r="C120" s="637"/>
      <c r="D120" s="637"/>
      <c r="E120" s="637"/>
      <c r="F120" s="637"/>
      <c r="G120" s="637"/>
      <c r="H120" s="637"/>
      <c r="I120" s="637"/>
      <c r="J120" s="637"/>
      <c r="M120" s="656" t="s">
        <v>1583</v>
      </c>
      <c r="N120" s="637"/>
      <c r="O120" s="637"/>
      <c r="P120" s="637"/>
      <c r="Q120" s="637"/>
      <c r="R120" s="637"/>
      <c r="S120" s="637"/>
      <c r="T120" s="637"/>
      <c r="U120" s="637"/>
      <c r="V120" s="637"/>
    </row>
    <row r="121" spans="1:22" x14ac:dyDescent="0.2">
      <c r="A121" s="656" t="s">
        <v>1106</v>
      </c>
      <c r="B121" s="637">
        <v>-136957.85</v>
      </c>
      <c r="C121" s="637">
        <v>-245800</v>
      </c>
      <c r="D121" s="637">
        <v>-157800</v>
      </c>
      <c r="E121" s="637">
        <v>-8898.5499999999993</v>
      </c>
      <c r="F121" s="637">
        <v>-207280.59</v>
      </c>
      <c r="G121" s="637">
        <v>-201470.15</v>
      </c>
      <c r="H121" s="637">
        <v>5810.44</v>
      </c>
      <c r="I121" s="637">
        <v>2.88402028786895</v>
      </c>
      <c r="J121" s="637">
        <v>-157800</v>
      </c>
      <c r="M121" s="656" t="s">
        <v>1106</v>
      </c>
      <c r="N121" s="637">
        <v>1062292.45</v>
      </c>
      <c r="O121" s="637">
        <v>1491500</v>
      </c>
      <c r="P121" s="637">
        <v>1454000</v>
      </c>
      <c r="Q121" s="637">
        <v>96357.28</v>
      </c>
      <c r="R121" s="637">
        <v>1091215.29</v>
      </c>
      <c r="S121" s="637">
        <v>1152343.19</v>
      </c>
      <c r="T121" s="637">
        <v>61127.9</v>
      </c>
      <c r="U121" s="637">
        <v>5.3046610185634</v>
      </c>
      <c r="V121" s="637">
        <v>1454000</v>
      </c>
    </row>
    <row r="122" spans="1:22" x14ac:dyDescent="0.2">
      <c r="A122" s="656" t="s">
        <v>402</v>
      </c>
      <c r="B122" s="637"/>
      <c r="C122" s="637"/>
      <c r="D122" s="637"/>
      <c r="E122" s="637"/>
      <c r="F122" s="637"/>
      <c r="G122" s="637"/>
      <c r="H122" s="637"/>
      <c r="I122" s="637"/>
      <c r="J122" s="637"/>
      <c r="M122" s="656" t="s">
        <v>402</v>
      </c>
      <c r="N122" s="637"/>
      <c r="O122" s="637"/>
      <c r="P122" s="637"/>
      <c r="Q122" s="637"/>
      <c r="R122" s="637"/>
      <c r="S122" s="637"/>
      <c r="T122" s="637"/>
      <c r="U122" s="637"/>
      <c r="V122" s="637"/>
    </row>
    <row r="123" spans="1:22" x14ac:dyDescent="0.2">
      <c r="A123" s="656" t="s">
        <v>158</v>
      </c>
      <c r="B123" s="637">
        <v>-69144.240000000005</v>
      </c>
      <c r="C123" s="637">
        <v>-40900</v>
      </c>
      <c r="D123" s="637">
        <v>-41000</v>
      </c>
      <c r="E123" s="637">
        <v>-3408.33</v>
      </c>
      <c r="F123" s="637">
        <v>-34109.57</v>
      </c>
      <c r="G123" s="637">
        <v>-34103.769999999997</v>
      </c>
      <c r="H123" s="637">
        <v>5.8</v>
      </c>
      <c r="I123" s="637">
        <v>1.7006917417048E-2</v>
      </c>
      <c r="J123" s="637">
        <v>-41000</v>
      </c>
      <c r="M123" s="656" t="s">
        <v>158</v>
      </c>
      <c r="N123" s="637">
        <v>3308420.04</v>
      </c>
      <c r="O123" s="637">
        <v>3513400</v>
      </c>
      <c r="P123" s="637">
        <v>3532800.01</v>
      </c>
      <c r="Q123" s="637">
        <v>294763.98</v>
      </c>
      <c r="R123" s="637">
        <v>2907952.36</v>
      </c>
      <c r="S123" s="637">
        <v>2935764.05</v>
      </c>
      <c r="T123" s="637">
        <v>27811.69</v>
      </c>
      <c r="U123" s="637">
        <v>0.94734077828904595</v>
      </c>
      <c r="V123" s="637">
        <v>3532800.01</v>
      </c>
    </row>
    <row r="124" spans="1:22" x14ac:dyDescent="0.2">
      <c r="A124" s="638" t="s">
        <v>1111</v>
      </c>
      <c r="B124" s="637">
        <v>-5266009224.5299997</v>
      </c>
      <c r="C124" s="637">
        <v>-5818454800</v>
      </c>
      <c r="D124" s="637">
        <v>-5565047847</v>
      </c>
      <c r="E124" s="637">
        <v>-386113216.23000002</v>
      </c>
      <c r="F124" s="637">
        <v>-4617495441.3999996</v>
      </c>
      <c r="G124" s="637">
        <v>-4623794000.7799997</v>
      </c>
      <c r="H124" s="637">
        <v>-6298559.3799999999</v>
      </c>
      <c r="I124" s="637">
        <v>1083.25367432746</v>
      </c>
      <c r="J124" s="637">
        <v>-5565047847</v>
      </c>
      <c r="M124" s="638" t="s">
        <v>1111</v>
      </c>
      <c r="N124" s="637">
        <v>5256459078.2799997</v>
      </c>
      <c r="O124" s="637">
        <v>5589918300</v>
      </c>
      <c r="P124" s="637">
        <v>5623917106.25</v>
      </c>
      <c r="Q124" s="637">
        <v>380803362.14999998</v>
      </c>
      <c r="R124" s="637">
        <v>4535002739.8299999</v>
      </c>
      <c r="S124" s="637">
        <v>4582997169.0500002</v>
      </c>
      <c r="T124" s="637">
        <v>47994429.219999999</v>
      </c>
      <c r="U124" s="637">
        <v>1.04722799185033</v>
      </c>
      <c r="V124" s="637">
        <v>5623917106.25</v>
      </c>
    </row>
  </sheetData>
  <pageMargins left="0.7" right="0.7" top="0.75" bottom="0.75" header="0.3" footer="0.3"/>
  <customProperties>
    <customPr name="_pios_id" r:id="rId1"/>
    <customPr name="CofWorksheetType"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sheetPr>
  <dimension ref="A1:W79"/>
  <sheetViews>
    <sheetView showGridLines="0" showZeros="0" zoomScaleNormal="10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34.28515625" style="21" customWidth="1"/>
    <col min="2" max="2" width="3.28515625" style="47" customWidth="1"/>
    <col min="3" max="8" width="8.7109375" style="21" customWidth="1"/>
    <col min="9" max="10" width="6.7109375" style="21" customWidth="1"/>
    <col min="11" max="11" width="8.7109375" style="21" customWidth="1"/>
    <col min="12" max="16384" width="9.28515625" style="21"/>
  </cols>
  <sheetData>
    <row r="1" spans="1:23" ht="13.5" x14ac:dyDescent="0.25">
      <c r="A1" s="839" t="str">
        <f>muni&amp; " - "&amp;S71C&amp; " - "&amp;date</f>
        <v>KZN282 uMhlathuze - Table C3 Monthly Budget Statement - Financial Performance (revenue and expenditure by municipal vote) - M10 April</v>
      </c>
      <c r="B1" s="839"/>
      <c r="C1" s="839"/>
      <c r="D1" s="839"/>
      <c r="E1" s="839"/>
      <c r="F1" s="839"/>
      <c r="G1" s="839"/>
      <c r="H1" s="839"/>
      <c r="I1" s="839"/>
      <c r="J1" s="839"/>
      <c r="K1" s="839"/>
    </row>
    <row r="2" spans="1:23" x14ac:dyDescent="0.25">
      <c r="A2" s="18" t="str">
        <f>Vdesc</f>
        <v>Vote Description</v>
      </c>
      <c r="B2" s="830" t="str">
        <f>head27</f>
        <v>Ref</v>
      </c>
      <c r="C2" s="77" t="str">
        <f>Head1</f>
        <v>2023/24</v>
      </c>
      <c r="D2" s="832" t="str">
        <f>Head2</f>
        <v>Budget Year 2024/25</v>
      </c>
      <c r="E2" s="833"/>
      <c r="F2" s="833"/>
      <c r="G2" s="833"/>
      <c r="H2" s="833"/>
      <c r="I2" s="833"/>
      <c r="J2" s="833"/>
      <c r="K2" s="834"/>
    </row>
    <row r="3" spans="1:23" ht="25.5" x14ac:dyDescent="0.25">
      <c r="A3" s="89"/>
      <c r="B3" s="841"/>
      <c r="C3" s="95" t="str">
        <f>Head5</f>
        <v>Audited Outcome</v>
      </c>
      <c r="D3" s="80" t="str">
        <f>Head6</f>
        <v>Original Budget</v>
      </c>
      <c r="E3" s="22" t="str">
        <f>Head7</f>
        <v>Adjusted Budget</v>
      </c>
      <c r="F3" s="22" t="str">
        <f>Head38</f>
        <v>Monthly actual</v>
      </c>
      <c r="G3" s="22" t="str">
        <f>Head39</f>
        <v>YearTD actual</v>
      </c>
      <c r="H3" s="22" t="str">
        <f>Head40</f>
        <v>YearTD budget</v>
      </c>
      <c r="I3" s="22" t="str">
        <f>Head41</f>
        <v>YTD variance</v>
      </c>
      <c r="J3" s="122" t="str">
        <f>Head41</f>
        <v>YTD variance</v>
      </c>
      <c r="K3" s="95" t="str">
        <f>Head8</f>
        <v>Full Year Forecast</v>
      </c>
    </row>
    <row r="4" spans="1:23" x14ac:dyDescent="0.25">
      <c r="A4" s="28" t="s">
        <v>615</v>
      </c>
      <c r="B4" s="842"/>
      <c r="C4" s="120"/>
      <c r="D4" s="134"/>
      <c r="E4" s="135"/>
      <c r="F4" s="57"/>
      <c r="G4" s="57"/>
      <c r="H4" s="57"/>
      <c r="I4" s="57"/>
      <c r="J4" s="136" t="s">
        <v>528</v>
      </c>
      <c r="K4" s="120"/>
    </row>
    <row r="5" spans="1:23" ht="11.25" customHeight="1" x14ac:dyDescent="0.25">
      <c r="A5" s="29" t="s">
        <v>697</v>
      </c>
      <c r="B5" s="90">
        <v>1</v>
      </c>
      <c r="C5" s="133"/>
      <c r="D5" s="131"/>
      <c r="E5" s="132"/>
      <c r="F5" s="132"/>
      <c r="G5" s="132"/>
      <c r="H5" s="132"/>
      <c r="I5" s="132"/>
      <c r="J5" s="250"/>
      <c r="K5" s="133"/>
      <c r="L5" s="317"/>
      <c r="M5" s="317"/>
      <c r="N5" s="317"/>
      <c r="O5" s="317"/>
      <c r="P5" s="317"/>
      <c r="Q5" s="317"/>
      <c r="R5" s="317"/>
      <c r="S5" s="317"/>
      <c r="T5" s="317"/>
      <c r="U5" s="317"/>
      <c r="V5" s="317"/>
      <c r="W5" s="317"/>
    </row>
    <row r="6" spans="1:23" ht="12.75" customHeight="1" x14ac:dyDescent="0.25">
      <c r="A6" s="30" t="str">
        <f>'Org structure'!A2</f>
        <v>Vote 1 - CITY DEVELOPMENT</v>
      </c>
      <c r="B6" s="90"/>
      <c r="C6" s="74">
        <f>'C3C'!C6</f>
        <v>245280071.96000004</v>
      </c>
      <c r="D6" s="36">
        <f>'C3C'!D6</f>
        <v>81325600</v>
      </c>
      <c r="E6" s="34">
        <f>'C3C'!E6</f>
        <v>98239900</v>
      </c>
      <c r="F6" s="34">
        <f>'C3C'!F6</f>
        <v>20267267.41</v>
      </c>
      <c r="G6" s="34">
        <f>'C3C'!G6</f>
        <v>47791187.420000002</v>
      </c>
      <c r="H6" s="34">
        <f>'C3C'!H6</f>
        <v>44384933.490000002</v>
      </c>
      <c r="I6" s="34">
        <f>G6-H6</f>
        <v>3406253.9299999997</v>
      </c>
      <c r="J6" s="251">
        <f>IF(I6=0,"",I6/H6)</f>
        <v>7.6743472664376852E-2</v>
      </c>
      <c r="K6" s="78">
        <f>'C3C'!K6</f>
        <v>98239900</v>
      </c>
      <c r="L6" s="317"/>
      <c r="M6" s="317"/>
      <c r="N6" s="317"/>
      <c r="O6" s="317"/>
      <c r="P6" s="317"/>
      <c r="Q6" s="317"/>
      <c r="R6" s="317"/>
      <c r="S6" s="317"/>
      <c r="T6" s="317"/>
      <c r="U6" s="317"/>
      <c r="V6" s="317"/>
      <c r="W6" s="317"/>
    </row>
    <row r="7" spans="1:23" ht="12.75" customHeight="1" x14ac:dyDescent="0.25">
      <c r="A7" s="30" t="str">
        <f>'Org structure'!A3</f>
        <v>Vote 2 - COMMUNITY SERVICES - PUBLIC HEALTH AND EMERGENCY SERVICES</v>
      </c>
      <c r="B7" s="90"/>
      <c r="C7" s="74">
        <f>'C3C'!C20</f>
        <v>239640794.66000003</v>
      </c>
      <c r="D7" s="36">
        <f>'C3C'!D20</f>
        <v>258991800</v>
      </c>
      <c r="E7" s="34">
        <f>'C3C'!E20</f>
        <v>257334300</v>
      </c>
      <c r="F7" s="34">
        <f>'C3C'!F20</f>
        <v>11606508.350000001</v>
      </c>
      <c r="G7" s="34">
        <f>'C3C'!G20</f>
        <v>228500467.76999998</v>
      </c>
      <c r="H7" s="34">
        <f>'C3C'!H20</f>
        <v>236287558.63999999</v>
      </c>
      <c r="I7" s="34">
        <f t="shared" ref="I7:I20" si="0">G7-H7</f>
        <v>-7787090.8700000048</v>
      </c>
      <c r="J7" s="251">
        <f t="shared" ref="J7:J21" si="1">IF(I7=0,"",I7/H7)</f>
        <v>-3.2955991905880083E-2</v>
      </c>
      <c r="K7" s="78">
        <f>'C3C'!K20</f>
        <v>257334300</v>
      </c>
      <c r="L7" s="317"/>
      <c r="M7" s="317"/>
      <c r="N7" s="317"/>
      <c r="O7" s="317"/>
      <c r="P7" s="317"/>
      <c r="Q7" s="317"/>
      <c r="R7" s="317"/>
      <c r="S7" s="317"/>
      <c r="T7" s="317"/>
      <c r="U7" s="317"/>
      <c r="V7" s="317"/>
      <c r="W7" s="317"/>
    </row>
    <row r="8" spans="1:23" ht="12.75" customHeight="1" x14ac:dyDescent="0.25">
      <c r="A8" s="30" t="str">
        <f>'Org structure'!A4</f>
        <v>Vote 3 - COMMUNITY SERVICES - PROTECTION SERVICES</v>
      </c>
      <c r="B8" s="90"/>
      <c r="C8" s="74">
        <f>'C3C'!C28</f>
        <v>23483218.689999998</v>
      </c>
      <c r="D8" s="36">
        <f>'C3C'!D28</f>
        <v>22240100</v>
      </c>
      <c r="E8" s="34">
        <f>'C3C'!E28</f>
        <v>18465700</v>
      </c>
      <c r="F8" s="34">
        <f>'C3C'!F28</f>
        <v>2348593.64</v>
      </c>
      <c r="G8" s="34">
        <f>'C3C'!G28</f>
        <v>15960736.309999999</v>
      </c>
      <c r="H8" s="34">
        <f>'C3C'!H28</f>
        <v>15238895.42</v>
      </c>
      <c r="I8" s="34">
        <f t="shared" si="0"/>
        <v>721840.88999999873</v>
      </c>
      <c r="J8" s="251">
        <f t="shared" si="1"/>
        <v>4.7368321003937876E-2</v>
      </c>
      <c r="K8" s="78">
        <f>'C3C'!K28</f>
        <v>18465700</v>
      </c>
      <c r="L8" s="317"/>
      <c r="M8" s="317"/>
      <c r="N8" s="317"/>
      <c r="O8" s="317"/>
      <c r="P8" s="317"/>
      <c r="Q8" s="317"/>
      <c r="R8" s="317"/>
      <c r="S8" s="317"/>
      <c r="T8" s="317"/>
      <c r="U8" s="317"/>
      <c r="V8" s="317"/>
      <c r="W8" s="317"/>
    </row>
    <row r="9" spans="1:23" ht="12.75" customHeight="1" x14ac:dyDescent="0.25">
      <c r="A9" s="30" t="str">
        <f>'Org structure'!A5</f>
        <v>Vote 4 - COMMUNITY SERVICES - RECREATIONAL AND ENVIRONMENTAL SERVICES</v>
      </c>
      <c r="B9" s="90"/>
      <c r="C9" s="74">
        <f>'C3C'!C33</f>
        <v>43101543.920000002</v>
      </c>
      <c r="D9" s="36">
        <f>'C3C'!D33</f>
        <v>29644200</v>
      </c>
      <c r="E9" s="34">
        <f>'C3C'!E33</f>
        <v>41395700</v>
      </c>
      <c r="F9" s="34">
        <f>'C3C'!F33</f>
        <v>14916203.85</v>
      </c>
      <c r="G9" s="34">
        <f>'C3C'!G33</f>
        <v>58016183.059999995</v>
      </c>
      <c r="H9" s="34">
        <f>'C3C'!H33</f>
        <v>43335672.159999996</v>
      </c>
      <c r="I9" s="34">
        <f t="shared" si="0"/>
        <v>14680510.899999999</v>
      </c>
      <c r="J9" s="251">
        <f t="shared" si="1"/>
        <v>0.33876273675409863</v>
      </c>
      <c r="K9" s="78">
        <f>'C3C'!K33</f>
        <v>41395700</v>
      </c>
      <c r="L9" s="317"/>
      <c r="M9" s="317"/>
      <c r="N9" s="317"/>
      <c r="O9" s="317"/>
      <c r="P9" s="317"/>
      <c r="Q9" s="317"/>
      <c r="R9" s="317"/>
      <c r="S9" s="317"/>
      <c r="T9" s="317"/>
      <c r="U9" s="317"/>
      <c r="V9" s="317"/>
      <c r="W9" s="317"/>
    </row>
    <row r="10" spans="1:23" ht="12.75" customHeight="1" x14ac:dyDescent="0.25">
      <c r="A10" s="30" t="str">
        <f>'Org structure'!A6</f>
        <v>Vote 5 - CORPORATE SERVICES - ADMINISTRATION</v>
      </c>
      <c r="B10" s="90"/>
      <c r="C10" s="74">
        <f>'C3C'!C47</f>
        <v>7174988.7000000002</v>
      </c>
      <c r="D10" s="36">
        <f>'C3C'!D47</f>
        <v>11624500</v>
      </c>
      <c r="E10" s="34">
        <f>'C3C'!E47</f>
        <v>7624500</v>
      </c>
      <c r="F10" s="34">
        <f>'C3C'!F47</f>
        <v>836249.74</v>
      </c>
      <c r="G10" s="34">
        <f>'C3C'!G47</f>
        <v>7331718.2999999998</v>
      </c>
      <c r="H10" s="34">
        <f>'C3C'!H47</f>
        <v>9311029.879999999</v>
      </c>
      <c r="I10" s="34">
        <f t="shared" si="0"/>
        <v>-1979311.5799999991</v>
      </c>
      <c r="J10" s="251">
        <f t="shared" si="1"/>
        <v>-0.21257708390041161</v>
      </c>
      <c r="K10" s="78">
        <f>'C3C'!K47</f>
        <v>7624500</v>
      </c>
      <c r="L10" s="317"/>
      <c r="M10" s="317"/>
      <c r="N10" s="317"/>
      <c r="O10" s="317"/>
      <c r="P10" s="317"/>
      <c r="Q10" s="317"/>
      <c r="R10" s="317"/>
      <c r="S10" s="317"/>
      <c r="T10" s="317"/>
      <c r="U10" s="317"/>
      <c r="V10" s="317"/>
      <c r="W10" s="317"/>
    </row>
    <row r="11" spans="1:23" ht="12.75" customHeight="1" x14ac:dyDescent="0.25">
      <c r="A11" s="30" t="str">
        <f>'Org structure'!A7</f>
        <v>Vote 6 - CORPORATE SERVICES - INFORMATION COMMUNICATION TECHNOLOGY</v>
      </c>
      <c r="B11" s="90"/>
      <c r="C11" s="74">
        <f>'C3C'!C51</f>
        <v>582966.48</v>
      </c>
      <c r="D11" s="36">
        <f>'C3C'!D51</f>
        <v>813500</v>
      </c>
      <c r="E11" s="34">
        <f>'C3C'!E51</f>
        <v>946200</v>
      </c>
      <c r="F11" s="34">
        <f>'C3C'!F51</f>
        <v>122608.34</v>
      </c>
      <c r="G11" s="34">
        <f>'C3C'!G51</f>
        <v>317083.40000000002</v>
      </c>
      <c r="H11" s="34">
        <f>'C3C'!H51</f>
        <v>216169.08</v>
      </c>
      <c r="I11" s="34">
        <f t="shared" si="0"/>
        <v>100914.32000000004</v>
      </c>
      <c r="J11" s="251">
        <f t="shared" si="1"/>
        <v>0.46683050138345428</v>
      </c>
      <c r="K11" s="78">
        <f>'C3C'!K51</f>
        <v>946200</v>
      </c>
      <c r="L11" s="317"/>
      <c r="M11" s="317"/>
      <c r="N11" s="317"/>
      <c r="O11" s="317"/>
      <c r="P11" s="317"/>
      <c r="Q11" s="317"/>
      <c r="R11" s="317"/>
      <c r="S11" s="317"/>
      <c r="T11" s="317"/>
      <c r="U11" s="317"/>
      <c r="V11" s="317"/>
      <c r="W11" s="317"/>
    </row>
    <row r="12" spans="1:23" ht="11.25" customHeight="1" x14ac:dyDescent="0.25">
      <c r="A12" s="30" t="str">
        <f>'Org structure'!A8</f>
        <v>Vote 7 - CORPORATE SERVICES - HUMAN RESOURCES</v>
      </c>
      <c r="B12" s="90"/>
      <c r="C12" s="74">
        <f>'C3C'!C53</f>
        <v>2878898.02</v>
      </c>
      <c r="D12" s="36">
        <f>'C3C'!D53</f>
        <v>1586600</v>
      </c>
      <c r="E12" s="34">
        <f>'C3C'!E53</f>
        <v>1584800</v>
      </c>
      <c r="F12" s="34">
        <f>'C3C'!F53</f>
        <v>53465.47</v>
      </c>
      <c r="G12" s="34">
        <f>'C3C'!G53</f>
        <v>1264381.74</v>
      </c>
      <c r="H12" s="34">
        <f>'C3C'!H53</f>
        <v>1238030.6100000001</v>
      </c>
      <c r="I12" s="34">
        <f t="shared" si="0"/>
        <v>26351.129999999888</v>
      </c>
      <c r="J12" s="251">
        <f t="shared" si="1"/>
        <v>2.1284716053991497E-2</v>
      </c>
      <c r="K12" s="78">
        <f>'C3C'!K53</f>
        <v>1584800</v>
      </c>
      <c r="L12" s="317"/>
      <c r="M12" s="317"/>
      <c r="N12" s="317"/>
      <c r="O12" s="317"/>
      <c r="P12" s="317"/>
      <c r="Q12" s="317"/>
      <c r="R12" s="317"/>
      <c r="S12" s="317"/>
      <c r="T12" s="317"/>
      <c r="U12" s="317"/>
      <c r="V12" s="317"/>
      <c r="W12" s="317"/>
    </row>
    <row r="13" spans="1:23" ht="11.25" customHeight="1" x14ac:dyDescent="0.25">
      <c r="A13" s="30" t="str">
        <f>'Org structure'!A9</f>
        <v>Vote 8 - FINANCIAL SERVICES</v>
      </c>
      <c r="B13" s="90"/>
      <c r="C13" s="74">
        <f>'C3C'!C58</f>
        <v>940636940.83000004</v>
      </c>
      <c r="D13" s="36">
        <f>'C3C'!D58</f>
        <v>1060007700</v>
      </c>
      <c r="E13" s="34">
        <f>'C3C'!E58</f>
        <v>1063346247</v>
      </c>
      <c r="F13" s="34">
        <f>'C3C'!F58</f>
        <v>64644521.799999997</v>
      </c>
      <c r="G13" s="34">
        <f>'C3C'!G58</f>
        <v>913035428.49000001</v>
      </c>
      <c r="H13" s="34">
        <f>'C3C'!H58</f>
        <v>924304276.9000001</v>
      </c>
      <c r="I13" s="34">
        <f t="shared" si="0"/>
        <v>-11268848.410000086</v>
      </c>
      <c r="J13" s="251">
        <f t="shared" si="1"/>
        <v>-1.2191708608981429E-2</v>
      </c>
      <c r="K13" s="78">
        <f>'C3C'!K58</f>
        <v>1063346247</v>
      </c>
      <c r="L13" s="317"/>
      <c r="M13" s="317"/>
      <c r="N13" s="317"/>
      <c r="O13" s="317"/>
      <c r="P13" s="317"/>
      <c r="Q13" s="317"/>
      <c r="R13" s="317"/>
      <c r="S13" s="317"/>
      <c r="T13" s="317"/>
      <c r="U13" s="317"/>
      <c r="V13" s="317"/>
      <c r="W13" s="317"/>
    </row>
    <row r="14" spans="1:23" ht="11.25" customHeight="1" x14ac:dyDescent="0.25">
      <c r="A14" s="30" t="str">
        <f>'Org structure'!A10</f>
        <v>Vote 9 - ELECTRICAL AND ENERGY SUPPLY SERVICES</v>
      </c>
      <c r="B14" s="90"/>
      <c r="C14" s="74">
        <f>'C3C'!C64</f>
        <v>2115777322.9300001</v>
      </c>
      <c r="D14" s="36">
        <f>'C3C'!D64</f>
        <v>2629286100</v>
      </c>
      <c r="E14" s="34">
        <f>'C3C'!E64</f>
        <v>2442734200</v>
      </c>
      <c r="F14" s="34">
        <f>'C3C'!F64</f>
        <v>197192421.72000003</v>
      </c>
      <c r="G14" s="34">
        <f>'C3C'!G64</f>
        <v>2010934502.1699998</v>
      </c>
      <c r="H14" s="34">
        <f>'C3C'!H64</f>
        <v>1961605412.3099999</v>
      </c>
      <c r="I14" s="34">
        <f t="shared" si="0"/>
        <v>49329089.859999895</v>
      </c>
      <c r="J14" s="251">
        <f t="shared" si="1"/>
        <v>2.5147305136107686E-2</v>
      </c>
      <c r="K14" s="78">
        <f>'C3C'!K64</f>
        <v>2442734200</v>
      </c>
      <c r="L14" s="317"/>
      <c r="M14" s="317"/>
      <c r="N14" s="317"/>
      <c r="O14" s="317"/>
      <c r="P14" s="317"/>
      <c r="Q14" s="317"/>
      <c r="R14" s="317"/>
      <c r="S14" s="317"/>
      <c r="T14" s="317"/>
      <c r="U14" s="317"/>
      <c r="V14" s="317"/>
      <c r="W14" s="317"/>
    </row>
    <row r="15" spans="1:23" ht="11.25" customHeight="1" x14ac:dyDescent="0.25">
      <c r="A15" s="30" t="str">
        <f>'Org structure'!A11</f>
        <v>Vote 10 - INFRASTRUCTURE SERVICES - INFRASTRUCTURE AND FACILITIES MANAGEMENT SERVICES</v>
      </c>
      <c r="B15" s="90"/>
      <c r="C15" s="74">
        <f>'C3C'!C72</f>
        <v>973988.97</v>
      </c>
      <c r="D15" s="36">
        <f>'C3C'!D72</f>
        <v>511100</v>
      </c>
      <c r="E15" s="34">
        <f>'C3C'!E72</f>
        <v>511200</v>
      </c>
      <c r="F15" s="34">
        <f>'C3C'!F72</f>
        <v>40667.520000000004</v>
      </c>
      <c r="G15" s="34">
        <f>'C3C'!G72</f>
        <v>404878.22</v>
      </c>
      <c r="H15" s="34">
        <f>'C3C'!H72</f>
        <v>407693.52</v>
      </c>
      <c r="I15" s="34">
        <f t="shared" si="0"/>
        <v>-2815.3000000000466</v>
      </c>
      <c r="J15" s="251">
        <f t="shared" si="1"/>
        <v>-6.9054322962995495E-3</v>
      </c>
      <c r="K15" s="78">
        <f>'C3C'!K72</f>
        <v>511200</v>
      </c>
      <c r="L15" s="317"/>
      <c r="M15" s="317"/>
      <c r="N15" s="317"/>
      <c r="O15" s="317"/>
      <c r="P15" s="317"/>
      <c r="Q15" s="317"/>
      <c r="R15" s="317"/>
      <c r="S15" s="317"/>
      <c r="T15" s="317"/>
      <c r="U15" s="317"/>
      <c r="V15" s="317"/>
      <c r="W15" s="317"/>
    </row>
    <row r="16" spans="1:23" ht="11.25" customHeight="1" x14ac:dyDescent="0.25">
      <c r="A16" s="30" t="str">
        <f>'Org structure'!A12</f>
        <v>Vote 11 - INFRASTRUCTURE SERVICES - CIVIL ENGINEERING SERVICES</v>
      </c>
      <c r="B16" s="90"/>
      <c r="C16" s="74">
        <f>'C3C'!C75</f>
        <v>1640351979.1300001</v>
      </c>
      <c r="D16" s="36">
        <f>'C3C'!D75</f>
        <v>1706717000</v>
      </c>
      <c r="E16" s="34">
        <f>'C3C'!E75</f>
        <v>1616827700</v>
      </c>
      <c r="F16" s="34">
        <f>'C3C'!F75</f>
        <v>73425907.349999994</v>
      </c>
      <c r="G16" s="34">
        <f>'C3C'!G75</f>
        <v>1327757460.0899999</v>
      </c>
      <c r="H16" s="34">
        <f>'C3C'!H75</f>
        <v>1379266871.8899999</v>
      </c>
      <c r="I16" s="34">
        <f t="shared" si="0"/>
        <v>-51509411.799999952</v>
      </c>
      <c r="J16" s="251">
        <f t="shared" si="1"/>
        <v>-3.734550060599727E-2</v>
      </c>
      <c r="K16" s="78">
        <f>'C3C'!K75</f>
        <v>1616827700</v>
      </c>
      <c r="M16" s="317"/>
      <c r="N16" s="317"/>
      <c r="O16" s="317"/>
      <c r="P16" s="317"/>
      <c r="Q16" s="317"/>
      <c r="R16" s="317"/>
      <c r="S16" s="317"/>
      <c r="T16" s="317"/>
      <c r="U16" s="317"/>
      <c r="V16" s="317"/>
      <c r="W16" s="317"/>
    </row>
    <row r="17" spans="1:23" ht="11.25" customHeight="1" x14ac:dyDescent="0.25">
      <c r="A17" s="30" t="str">
        <f>'Org structure'!A16</f>
        <v>Vote 12 - INFRASTRUCTURE SERVICES - ENGINEERING SERVICES</v>
      </c>
      <c r="B17" s="90"/>
      <c r="C17" s="74">
        <f>'C3C'!C89</f>
        <v>784772.69000000006</v>
      </c>
      <c r="D17" s="36">
        <f>'C3C'!D89</f>
        <v>7749500</v>
      </c>
      <c r="E17" s="34">
        <f>'C3C'!E89</f>
        <v>7749700</v>
      </c>
      <c r="F17" s="34">
        <f>'C3C'!F89</f>
        <v>13697.35</v>
      </c>
      <c r="G17" s="34">
        <f>'C3C'!G89</f>
        <v>136750.29</v>
      </c>
      <c r="H17" s="34">
        <f>'C3C'!H89</f>
        <v>2409198.1799999997</v>
      </c>
      <c r="I17" s="34">
        <f t="shared" si="0"/>
        <v>-2272447.8899999997</v>
      </c>
      <c r="J17" s="251">
        <f t="shared" si="1"/>
        <v>-0.94323825614047241</v>
      </c>
      <c r="K17" s="78">
        <f>'C3C'!K89</f>
        <v>7749700</v>
      </c>
      <c r="M17" s="317"/>
      <c r="N17" s="317"/>
      <c r="O17" s="317"/>
      <c r="P17" s="317"/>
      <c r="Q17" s="317"/>
      <c r="R17" s="317"/>
      <c r="S17" s="317"/>
      <c r="T17" s="317"/>
      <c r="U17" s="317"/>
      <c r="V17" s="317"/>
      <c r="W17" s="317"/>
    </row>
    <row r="18" spans="1:23" ht="11.25" customHeight="1" x14ac:dyDescent="0.25">
      <c r="A18" s="30" t="str">
        <f>'Org structure'!A17</f>
        <v>Vote 13 - OFFICE OF THE MUNICIPAL MANAGER</v>
      </c>
      <c r="B18" s="90"/>
      <c r="C18" s="74">
        <f>'C3C'!C92</f>
        <v>4344303.2000000011</v>
      </c>
      <c r="D18" s="36">
        <f>'C3C'!D92</f>
        <v>3966200</v>
      </c>
      <c r="E18" s="34">
        <f>'C3C'!E92</f>
        <v>4296300</v>
      </c>
      <c r="F18" s="34">
        <f>'C3C'!F92</f>
        <v>521203.69</v>
      </c>
      <c r="G18" s="34">
        <f>'C3C'!G92</f>
        <v>4805879.8499999996</v>
      </c>
      <c r="H18" s="34">
        <f>'C3C'!H92</f>
        <v>3928679.2900000005</v>
      </c>
      <c r="I18" s="34">
        <f t="shared" si="0"/>
        <v>877200.55999999912</v>
      </c>
      <c r="J18" s="251">
        <f t="shared" si="1"/>
        <v>0.22328128494296082</v>
      </c>
      <c r="K18" s="78">
        <f>'C3C'!K92</f>
        <v>4296300</v>
      </c>
      <c r="M18" s="317"/>
      <c r="N18" s="317"/>
      <c r="O18" s="317"/>
      <c r="P18" s="317"/>
      <c r="Q18" s="317"/>
      <c r="R18" s="317"/>
      <c r="S18" s="317"/>
      <c r="T18" s="317"/>
      <c r="U18" s="317"/>
      <c r="V18" s="317"/>
      <c r="W18" s="317"/>
    </row>
    <row r="19" spans="1:23" ht="11.25" customHeight="1" x14ac:dyDescent="0.25">
      <c r="A19" s="30" t="str">
        <f>'Org structure'!A18</f>
        <v>Vote 14 - CORPORATE SERVICES - LEGAL SERVICES</v>
      </c>
      <c r="B19" s="90"/>
      <c r="C19" s="74">
        <f>'C3C'!C106</f>
        <v>195317.97</v>
      </c>
      <c r="D19" s="36">
        <f>'C3C'!D106</f>
        <v>96000</v>
      </c>
      <c r="E19" s="34">
        <f>'C3C'!E106</f>
        <v>96200</v>
      </c>
      <c r="F19" s="34">
        <f>'C3C'!F106</f>
        <v>7958.34</v>
      </c>
      <c r="G19" s="34">
        <f>'C3C'!G106</f>
        <v>79583.399999999994</v>
      </c>
      <c r="H19" s="34">
        <f>'C3C'!H106</f>
        <v>79669.08</v>
      </c>
      <c r="I19" s="34">
        <f t="shared" si="0"/>
        <v>-85.680000000007567</v>
      </c>
      <c r="J19" s="251">
        <f>IF(H19=0,"",I19/H19)</f>
        <v>-1.0754485931054754E-3</v>
      </c>
      <c r="K19" s="78">
        <f>'C3C'!K106</f>
        <v>96200</v>
      </c>
      <c r="M19" s="317"/>
      <c r="N19" s="317"/>
      <c r="O19" s="317"/>
      <c r="P19" s="317"/>
      <c r="Q19" s="317"/>
      <c r="R19" s="317"/>
      <c r="S19" s="317"/>
      <c r="T19" s="317"/>
      <c r="U19" s="317"/>
      <c r="V19" s="317"/>
      <c r="W19" s="317"/>
    </row>
    <row r="20" spans="1:23" ht="12" customHeight="1" x14ac:dyDescent="0.25">
      <c r="A20" s="30" t="str">
        <f>'Org structure'!A19</f>
        <v>Vote 15 - INFRASTRUCTURE SERVICES - INFRASTRUCTURE SUPPORT SERVICES</v>
      </c>
      <c r="B20" s="90"/>
      <c r="C20" s="74">
        <f>'C3C'!C108</f>
        <v>802116.38</v>
      </c>
      <c r="D20" s="36">
        <f>'C3C'!D108</f>
        <v>3894900</v>
      </c>
      <c r="E20" s="34">
        <f>'C3C'!E108</f>
        <v>3895200</v>
      </c>
      <c r="F20" s="34">
        <f>'C3C'!F108</f>
        <v>115941.66</v>
      </c>
      <c r="G20" s="34">
        <f>'C3C'!G108</f>
        <v>1159200.8900000001</v>
      </c>
      <c r="H20" s="34">
        <f>'C3C'!H108</f>
        <v>1779910.33</v>
      </c>
      <c r="I20" s="34">
        <f t="shared" si="0"/>
        <v>-620709.43999999994</v>
      </c>
      <c r="J20" s="251">
        <f t="shared" si="1"/>
        <v>-0.34873073633995927</v>
      </c>
      <c r="K20" s="78">
        <f>'C3C'!K108</f>
        <v>3895200</v>
      </c>
      <c r="M20" s="317"/>
      <c r="N20" s="317"/>
      <c r="O20" s="317"/>
      <c r="P20" s="317"/>
      <c r="Q20" s="317"/>
      <c r="R20" s="317"/>
      <c r="S20" s="317"/>
      <c r="T20" s="317"/>
      <c r="U20" s="317"/>
      <c r="V20" s="317"/>
      <c r="W20" s="317"/>
    </row>
    <row r="21" spans="1:23" ht="12.75" customHeight="1" x14ac:dyDescent="0.25">
      <c r="A21" s="62" t="s">
        <v>584</v>
      </c>
      <c r="B21" s="127">
        <v>2</v>
      </c>
      <c r="C21" s="79">
        <f>SUM(C6:C20)</f>
        <v>5266009224.5300007</v>
      </c>
      <c r="D21" s="53">
        <f t="shared" ref="D21:I21" si="2">SUM(D6:D20)</f>
        <v>5818454800</v>
      </c>
      <c r="E21" s="52">
        <f t="shared" si="2"/>
        <v>5565047847</v>
      </c>
      <c r="F21" s="52">
        <f t="shared" si="2"/>
        <v>386113216.23000008</v>
      </c>
      <c r="G21" s="52">
        <f t="shared" si="2"/>
        <v>4617495441.3999996</v>
      </c>
      <c r="H21" s="52">
        <f t="shared" si="2"/>
        <v>4623794000.7799997</v>
      </c>
      <c r="I21" s="52">
        <f t="shared" si="2"/>
        <v>-6298559.380000148</v>
      </c>
      <c r="J21" s="252">
        <f t="shared" si="1"/>
        <v>-1.3622058809145969E-3</v>
      </c>
      <c r="K21" s="79">
        <f>SUM(K6:K20)</f>
        <v>5565047847</v>
      </c>
      <c r="L21" s="316"/>
      <c r="M21" s="316"/>
      <c r="N21" s="316"/>
      <c r="O21" s="316"/>
      <c r="P21" s="316"/>
      <c r="Q21" s="316"/>
      <c r="R21" s="316"/>
      <c r="S21" s="316"/>
      <c r="T21" s="316"/>
      <c r="U21" s="316"/>
      <c r="V21" s="316"/>
      <c r="W21" s="316"/>
    </row>
    <row r="22" spans="1:23" ht="5.0999999999999996" customHeight="1" x14ac:dyDescent="0.25">
      <c r="A22" s="32"/>
      <c r="B22" s="90"/>
      <c r="C22" s="78"/>
      <c r="D22" s="36"/>
      <c r="E22" s="34"/>
      <c r="F22" s="34"/>
      <c r="G22" s="34"/>
      <c r="H22" s="34"/>
      <c r="I22" s="34"/>
      <c r="J22" s="253"/>
      <c r="K22" s="78"/>
      <c r="L22" s="58"/>
      <c r="M22" s="58"/>
      <c r="N22" s="58"/>
      <c r="O22" s="58"/>
      <c r="P22" s="58"/>
      <c r="Q22" s="58"/>
      <c r="R22" s="58"/>
      <c r="S22" s="58"/>
      <c r="T22" s="58"/>
      <c r="U22" s="58"/>
      <c r="V22" s="58"/>
      <c r="W22" s="58"/>
    </row>
    <row r="23" spans="1:23" ht="12.75" customHeight="1" x14ac:dyDescent="0.25">
      <c r="A23" s="29" t="s">
        <v>698</v>
      </c>
      <c r="B23" s="90">
        <v>1</v>
      </c>
      <c r="C23" s="78"/>
      <c r="D23" s="36"/>
      <c r="E23" s="34"/>
      <c r="F23" s="34"/>
      <c r="G23" s="34"/>
      <c r="H23" s="34"/>
      <c r="I23" s="34"/>
      <c r="J23" s="253"/>
      <c r="K23" s="78"/>
      <c r="L23" s="58"/>
      <c r="M23" s="58"/>
      <c r="N23" s="58"/>
      <c r="O23" s="58"/>
      <c r="P23" s="58"/>
      <c r="Q23" s="58"/>
      <c r="R23" s="58"/>
      <c r="S23" s="58"/>
      <c r="T23" s="58"/>
      <c r="U23" s="58"/>
      <c r="V23" s="58"/>
      <c r="W23" s="58"/>
    </row>
    <row r="24" spans="1:23" ht="12.75" customHeight="1" x14ac:dyDescent="0.25">
      <c r="A24" s="30" t="str">
        <f>'Org structure'!A2</f>
        <v>Vote 1 - CITY DEVELOPMENT</v>
      </c>
      <c r="B24" s="90"/>
      <c r="C24" s="74">
        <f>'C3C'!C114</f>
        <v>384425555.90999991</v>
      </c>
      <c r="D24" s="36">
        <f>'C3C'!D114</f>
        <v>211192900</v>
      </c>
      <c r="E24" s="34">
        <f>'C3C'!E114</f>
        <v>216725296.01999998</v>
      </c>
      <c r="F24" s="34">
        <f>'C3C'!F114</f>
        <v>11656950.889999997</v>
      </c>
      <c r="G24" s="34">
        <f>'C3C'!G114</f>
        <v>127374447.91999999</v>
      </c>
      <c r="H24" s="34">
        <f>'C3C'!H114</f>
        <v>148599728.95000002</v>
      </c>
      <c r="I24" s="34">
        <f t="shared" ref="I24:I38" si="3">G24-H24</f>
        <v>-21225281.030000031</v>
      </c>
      <c r="J24" s="251">
        <f t="shared" ref="J24:J38" si="4">IF(I24=0,"",I24/H24)</f>
        <v>-0.14283526073686037</v>
      </c>
      <c r="K24" s="78">
        <f>'C3C'!K114</f>
        <v>216725296.01999998</v>
      </c>
      <c r="L24" s="58"/>
      <c r="M24" s="58"/>
      <c r="N24" s="58"/>
      <c r="O24" s="58"/>
      <c r="P24" s="58"/>
      <c r="Q24" s="58"/>
      <c r="R24" s="58"/>
      <c r="S24" s="58"/>
      <c r="T24" s="58"/>
      <c r="U24" s="58"/>
      <c r="V24" s="58"/>
      <c r="W24" s="58"/>
    </row>
    <row r="25" spans="1:23" ht="12.75" customHeight="1" x14ac:dyDescent="0.25">
      <c r="A25" s="30" t="str">
        <f>'Org structure'!A3</f>
        <v>Vote 2 - COMMUNITY SERVICES - PUBLIC HEALTH AND EMERGENCY SERVICES</v>
      </c>
      <c r="B25" s="90"/>
      <c r="C25" s="74">
        <f>'C3C'!C128</f>
        <v>326198257.19999999</v>
      </c>
      <c r="D25" s="36">
        <f>'C3C'!D128</f>
        <v>373205200</v>
      </c>
      <c r="E25" s="34">
        <f>'C3C'!E128</f>
        <v>349574524.74000001</v>
      </c>
      <c r="F25" s="34">
        <f>'C3C'!F128</f>
        <v>25631135.530000005</v>
      </c>
      <c r="G25" s="34">
        <f>'C3C'!G128</f>
        <v>270808293.25</v>
      </c>
      <c r="H25" s="34">
        <f>'C3C'!H128</f>
        <v>277598685.31999999</v>
      </c>
      <c r="I25" s="34">
        <f t="shared" si="3"/>
        <v>-6790392.0699999928</v>
      </c>
      <c r="J25" s="251">
        <f t="shared" si="4"/>
        <v>-2.4461182379781139E-2</v>
      </c>
      <c r="K25" s="78">
        <f>'C3C'!K128</f>
        <v>349574524.74000001</v>
      </c>
      <c r="L25" s="58"/>
      <c r="M25" s="58"/>
      <c r="N25" s="58"/>
      <c r="O25" s="58"/>
      <c r="P25" s="58"/>
      <c r="Q25" s="58"/>
      <c r="R25" s="58"/>
      <c r="S25" s="58"/>
      <c r="T25" s="58"/>
      <c r="U25" s="58"/>
      <c r="V25" s="58"/>
      <c r="W25" s="58"/>
    </row>
    <row r="26" spans="1:23" ht="12.75" customHeight="1" x14ac:dyDescent="0.25">
      <c r="A26" s="30" t="str">
        <f>'Org structure'!A4</f>
        <v>Vote 3 - COMMUNITY SERVICES - PROTECTION SERVICES</v>
      </c>
      <c r="B26" s="90"/>
      <c r="C26" s="74">
        <f>'C3C'!C136</f>
        <v>146125931.03</v>
      </c>
      <c r="D26" s="36">
        <f>'C3C'!D136</f>
        <v>161604300</v>
      </c>
      <c r="E26" s="34">
        <f>'C3C'!E136</f>
        <v>173550876.19999999</v>
      </c>
      <c r="F26" s="34">
        <f>'C3C'!F136</f>
        <v>10090970.029999999</v>
      </c>
      <c r="G26" s="34">
        <f>'C3C'!G136</f>
        <v>105944499.79000001</v>
      </c>
      <c r="H26" s="34">
        <f>'C3C'!H136</f>
        <v>125435111.45999999</v>
      </c>
      <c r="I26" s="34">
        <f t="shared" si="3"/>
        <v>-19490611.669999987</v>
      </c>
      <c r="J26" s="251">
        <f t="shared" si="4"/>
        <v>-0.15538401842306609</v>
      </c>
      <c r="K26" s="78">
        <f>'C3C'!K136</f>
        <v>173550876.19999999</v>
      </c>
      <c r="L26" s="58"/>
      <c r="M26" s="58"/>
      <c r="N26" s="58"/>
      <c r="O26" s="58"/>
      <c r="P26" s="58"/>
      <c r="Q26" s="58"/>
      <c r="R26" s="58"/>
      <c r="S26" s="58"/>
      <c r="T26" s="58"/>
      <c r="U26" s="58"/>
      <c r="V26" s="58"/>
      <c r="W26" s="58"/>
    </row>
    <row r="27" spans="1:23" ht="12.75" customHeight="1" x14ac:dyDescent="0.25">
      <c r="A27" s="30" t="str">
        <f>'Org structure'!A5</f>
        <v>Vote 4 - COMMUNITY SERVICES - RECREATIONAL AND ENVIRONMENTAL SERVICES</v>
      </c>
      <c r="B27" s="90"/>
      <c r="C27" s="74">
        <f>'C3C'!C141</f>
        <v>311150226.16999996</v>
      </c>
      <c r="D27" s="36">
        <f>'C3C'!D141</f>
        <v>336716100</v>
      </c>
      <c r="E27" s="34">
        <f>'C3C'!E141</f>
        <v>338293324.86999995</v>
      </c>
      <c r="F27" s="34">
        <f>'C3C'!F141</f>
        <v>27511510.890000001</v>
      </c>
      <c r="G27" s="34">
        <f>'C3C'!G141</f>
        <v>270148695.22000003</v>
      </c>
      <c r="H27" s="34">
        <f>'C3C'!H141</f>
        <v>272565050.66000003</v>
      </c>
      <c r="I27" s="34">
        <f t="shared" si="3"/>
        <v>-2416355.4399999976</v>
      </c>
      <c r="J27" s="251">
        <f t="shared" si="4"/>
        <v>-8.8652431195743436E-3</v>
      </c>
      <c r="K27" s="78">
        <f>'C3C'!K141</f>
        <v>338293324.86999995</v>
      </c>
      <c r="L27" s="58"/>
      <c r="M27" s="58"/>
      <c r="N27" s="58"/>
      <c r="O27" s="58"/>
      <c r="P27" s="58"/>
      <c r="Q27" s="58"/>
      <c r="R27" s="58"/>
      <c r="S27" s="58"/>
      <c r="T27" s="58"/>
      <c r="U27" s="58"/>
      <c r="V27" s="58"/>
      <c r="W27" s="58"/>
    </row>
    <row r="28" spans="1:23" ht="12.75" customHeight="1" x14ac:dyDescent="0.25">
      <c r="A28" s="30" t="str">
        <f>'Org structure'!A6</f>
        <v>Vote 5 - CORPORATE SERVICES - ADMINISTRATION</v>
      </c>
      <c r="B28" s="90"/>
      <c r="C28" s="74">
        <f>'C3C'!C155</f>
        <v>46631286.149999999</v>
      </c>
      <c r="D28" s="36">
        <f>'C3C'!D155</f>
        <v>42498700</v>
      </c>
      <c r="E28" s="34">
        <f>'C3C'!E155</f>
        <v>46279005.739999995</v>
      </c>
      <c r="F28" s="34">
        <f>'C3C'!F155</f>
        <v>3429030.35</v>
      </c>
      <c r="G28" s="34">
        <f>'C3C'!G155</f>
        <v>36874533.270000003</v>
      </c>
      <c r="H28" s="34">
        <f>'C3C'!H155</f>
        <v>34737055.519999996</v>
      </c>
      <c r="I28" s="34">
        <f t="shared" si="3"/>
        <v>2137477.7500000075</v>
      </c>
      <c r="J28" s="251">
        <f t="shared" si="4"/>
        <v>6.1533072334508783E-2</v>
      </c>
      <c r="K28" s="78">
        <f>'C3C'!K155</f>
        <v>46279005.739999995</v>
      </c>
      <c r="L28" s="58"/>
      <c r="M28" s="58"/>
      <c r="N28" s="58"/>
      <c r="O28" s="58"/>
      <c r="P28" s="58"/>
      <c r="Q28" s="58"/>
      <c r="R28" s="58"/>
      <c r="S28" s="58"/>
      <c r="T28" s="58"/>
      <c r="U28" s="58"/>
      <c r="V28" s="58"/>
      <c r="W28" s="58"/>
    </row>
    <row r="29" spans="1:23" ht="12.75" customHeight="1" x14ac:dyDescent="0.25">
      <c r="A29" s="30" t="str">
        <f>'Org structure'!A7</f>
        <v>Vote 6 - CORPORATE SERVICES - INFORMATION COMMUNICATION TECHNOLOGY</v>
      </c>
      <c r="B29" s="90"/>
      <c r="C29" s="74">
        <f>'C3C'!C159</f>
        <v>167713056.75</v>
      </c>
      <c r="D29" s="36">
        <f>'C3C'!D159</f>
        <v>53996500</v>
      </c>
      <c r="E29" s="34">
        <f>'C3C'!E159</f>
        <v>179867034.83000001</v>
      </c>
      <c r="F29" s="34">
        <f>'C3C'!F159</f>
        <v>-1503286.33</v>
      </c>
      <c r="G29" s="34">
        <f>'C3C'!G159</f>
        <v>120925842.40000001</v>
      </c>
      <c r="H29" s="34">
        <f>'C3C'!H159</f>
        <v>134660898.18000001</v>
      </c>
      <c r="I29" s="34">
        <f t="shared" si="3"/>
        <v>-13735055.780000001</v>
      </c>
      <c r="J29" s="251">
        <f t="shared" si="4"/>
        <v>-0.10199735755245354</v>
      </c>
      <c r="K29" s="78">
        <f>'C3C'!K159</f>
        <v>179867034.83000001</v>
      </c>
      <c r="L29" s="58"/>
      <c r="M29" s="58"/>
      <c r="N29" s="58"/>
      <c r="O29" s="58"/>
      <c r="P29" s="58"/>
      <c r="Q29" s="58"/>
      <c r="R29" s="58"/>
      <c r="S29" s="58"/>
      <c r="T29" s="58"/>
      <c r="U29" s="58"/>
      <c r="V29" s="58"/>
      <c r="W29" s="58"/>
    </row>
    <row r="30" spans="1:23" ht="11.25" customHeight="1" x14ac:dyDescent="0.25">
      <c r="A30" s="30" t="str">
        <f>'Org structure'!A8</f>
        <v>Vote 7 - CORPORATE SERVICES - HUMAN RESOURCES</v>
      </c>
      <c r="B30" s="90"/>
      <c r="C30" s="74">
        <f>'C3C'!C161</f>
        <v>5702685.8499999996</v>
      </c>
      <c r="D30" s="36">
        <f>'C3C'!D161</f>
        <v>12176800</v>
      </c>
      <c r="E30" s="34">
        <f>'C3C'!E161</f>
        <v>10017209.060000001</v>
      </c>
      <c r="F30" s="34">
        <f>'C3C'!F161</f>
        <v>521747.69999999995</v>
      </c>
      <c r="G30" s="34">
        <f>'C3C'!G161</f>
        <v>4354685.29</v>
      </c>
      <c r="H30" s="34">
        <f>'C3C'!H161</f>
        <v>5691365.3900000006</v>
      </c>
      <c r="I30" s="34">
        <f t="shared" si="3"/>
        <v>-1336680.1000000006</v>
      </c>
      <c r="J30" s="251">
        <f t="shared" si="4"/>
        <v>-0.2348610585341456</v>
      </c>
      <c r="K30" s="78">
        <f>'C3C'!K161</f>
        <v>10017209.060000001</v>
      </c>
      <c r="L30" s="58"/>
      <c r="M30" s="58"/>
      <c r="N30" s="58"/>
      <c r="O30" s="58"/>
      <c r="P30" s="58"/>
      <c r="Q30" s="58"/>
      <c r="R30" s="58"/>
      <c r="S30" s="58"/>
      <c r="T30" s="58"/>
      <c r="U30" s="58"/>
      <c r="V30" s="58"/>
      <c r="W30" s="58"/>
    </row>
    <row r="31" spans="1:23" ht="11.25" customHeight="1" x14ac:dyDescent="0.25">
      <c r="A31" s="30" t="str">
        <f>'Org structure'!A9</f>
        <v>Vote 8 - FINANCIAL SERVICES</v>
      </c>
      <c r="B31" s="90"/>
      <c r="C31" s="74">
        <f>'C3C'!C166</f>
        <v>-99588482.950000003</v>
      </c>
      <c r="D31" s="36">
        <f>'C3C'!D166</f>
        <v>20715700</v>
      </c>
      <c r="E31" s="34">
        <f>'C3C'!E166</f>
        <v>-22268114.700000003</v>
      </c>
      <c r="F31" s="34">
        <f>'C3C'!F166</f>
        <v>3802008.0899999994</v>
      </c>
      <c r="G31" s="34">
        <f>'C3C'!G166</f>
        <v>-59249448.999999993</v>
      </c>
      <c r="H31" s="34">
        <f>'C3C'!H166</f>
        <v>-58830198.770000003</v>
      </c>
      <c r="I31" s="34">
        <f t="shared" si="3"/>
        <v>-419250.22999998927</v>
      </c>
      <c r="J31" s="251">
        <f t="shared" si="4"/>
        <v>7.1264459200464682E-3</v>
      </c>
      <c r="K31" s="78">
        <f>'C3C'!K166</f>
        <v>-22268114.700000003</v>
      </c>
      <c r="L31" s="58"/>
      <c r="M31" s="58"/>
      <c r="N31" s="58"/>
      <c r="O31" s="58"/>
      <c r="P31" s="58"/>
      <c r="Q31" s="58"/>
      <c r="R31" s="58"/>
      <c r="S31" s="58"/>
      <c r="T31" s="58"/>
      <c r="U31" s="58"/>
      <c r="V31" s="58"/>
      <c r="W31" s="58"/>
    </row>
    <row r="32" spans="1:23" ht="11.25" customHeight="1" x14ac:dyDescent="0.25">
      <c r="A32" s="30" t="str">
        <f>'Org structure'!A10</f>
        <v>Vote 9 - ELECTRICAL AND ENERGY SUPPLY SERVICES</v>
      </c>
      <c r="B32" s="90"/>
      <c r="C32" s="74">
        <f>'C3C'!C172</f>
        <v>1995600777.7</v>
      </c>
      <c r="D32" s="36">
        <f>'C3C'!D172</f>
        <v>2401290500</v>
      </c>
      <c r="E32" s="34">
        <f>'C3C'!E172</f>
        <v>2342808562.7600002</v>
      </c>
      <c r="F32" s="34">
        <f>'C3C'!F172</f>
        <v>165463293.88999996</v>
      </c>
      <c r="G32" s="34">
        <f>'C3C'!G172</f>
        <v>1994032798.8199997</v>
      </c>
      <c r="H32" s="34">
        <f>'C3C'!H172</f>
        <v>1967771108.79</v>
      </c>
      <c r="I32" s="34">
        <f t="shared" si="3"/>
        <v>26261690.029999733</v>
      </c>
      <c r="J32" s="251">
        <f t="shared" si="4"/>
        <v>1.3345906905884131E-2</v>
      </c>
      <c r="K32" s="78">
        <f>'C3C'!K172</f>
        <v>2342808562.7600002</v>
      </c>
      <c r="L32" s="58"/>
      <c r="M32" s="58"/>
      <c r="N32" s="58"/>
      <c r="O32" s="58"/>
      <c r="P32" s="58"/>
      <c r="Q32" s="58"/>
      <c r="R32" s="58"/>
      <c r="S32" s="58"/>
      <c r="T32" s="58"/>
      <c r="U32" s="58"/>
      <c r="V32" s="58"/>
      <c r="W32" s="58"/>
    </row>
    <row r="33" spans="1:23" ht="11.25" customHeight="1" x14ac:dyDescent="0.25">
      <c r="A33" s="30" t="str">
        <f>'Org structure'!A11</f>
        <v>Vote 10 - INFRASTRUCTURE SERVICES - INFRASTRUCTURE AND FACILITIES MANAGEMENT SERVICES</v>
      </c>
      <c r="B33" s="90"/>
      <c r="C33" s="74">
        <f>'C3C'!C180</f>
        <v>16734688.380000001</v>
      </c>
      <c r="D33" s="36">
        <f>'C3C'!D180</f>
        <v>19896100</v>
      </c>
      <c r="E33" s="34">
        <f>'C3C'!E180</f>
        <v>18002527.959999997</v>
      </c>
      <c r="F33" s="34">
        <f>'C3C'!F180</f>
        <v>990002.04</v>
      </c>
      <c r="G33" s="34">
        <f>'C3C'!G180</f>
        <v>11847528.459999999</v>
      </c>
      <c r="H33" s="34">
        <f>'C3C'!H180</f>
        <v>13659882.649999999</v>
      </c>
      <c r="I33" s="34">
        <f t="shared" si="3"/>
        <v>-1812354.1899999995</v>
      </c>
      <c r="J33" s="251">
        <f>IF(I33=0,"",I33/H33)</f>
        <v>-0.13267714199579889</v>
      </c>
      <c r="K33" s="78">
        <f>'C3C'!K180</f>
        <v>18002527.959999997</v>
      </c>
      <c r="L33" s="58"/>
      <c r="M33" s="58"/>
      <c r="N33" s="58"/>
      <c r="O33" s="58"/>
      <c r="P33" s="58"/>
      <c r="Q33" s="58"/>
      <c r="R33" s="58"/>
      <c r="S33" s="58"/>
      <c r="T33" s="58"/>
      <c r="U33" s="58"/>
      <c r="V33" s="58"/>
      <c r="W33" s="58"/>
    </row>
    <row r="34" spans="1:23" ht="11.25" customHeight="1" x14ac:dyDescent="0.25">
      <c r="A34" s="30" t="str">
        <f>'Org structure'!A12</f>
        <v>Vote 11 - INFRASTRUCTURE SERVICES - CIVIL ENGINEERING SERVICES</v>
      </c>
      <c r="B34" s="90"/>
      <c r="C34" s="74">
        <f>'C3C'!C183</f>
        <v>1879138714.3799999</v>
      </c>
      <c r="D34" s="36">
        <f>'C3C'!D183</f>
        <v>1865631200</v>
      </c>
      <c r="E34" s="34">
        <f>'C3C'!E183</f>
        <v>1867326203.48</v>
      </c>
      <c r="F34" s="34">
        <f>'C3C'!F183</f>
        <v>129240117.46000001</v>
      </c>
      <c r="G34" s="34">
        <f>'C3C'!G183</f>
        <v>1595368458.46</v>
      </c>
      <c r="H34" s="34">
        <f>'C3C'!H183</f>
        <v>1590861748.52</v>
      </c>
      <c r="I34" s="34">
        <f t="shared" si="3"/>
        <v>4506709.9400000572</v>
      </c>
      <c r="J34" s="251">
        <f>IF(I34=0,"",I34/H34)</f>
        <v>2.8328734059969132E-3</v>
      </c>
      <c r="K34" s="78">
        <f>'C3C'!K183</f>
        <v>1867326203.48</v>
      </c>
      <c r="M34" s="58"/>
      <c r="N34" s="58"/>
      <c r="O34" s="58"/>
      <c r="P34" s="58"/>
      <c r="Q34" s="58"/>
      <c r="R34" s="58"/>
      <c r="S34" s="58"/>
      <c r="T34" s="58"/>
      <c r="U34" s="58"/>
      <c r="V34" s="58"/>
      <c r="W34" s="58"/>
    </row>
    <row r="35" spans="1:23" ht="11.25" customHeight="1" x14ac:dyDescent="0.25">
      <c r="A35" s="30" t="str">
        <f>'Org structure'!A16</f>
        <v>Vote 12 - INFRASTRUCTURE SERVICES - ENGINEERING SERVICES</v>
      </c>
      <c r="B35" s="90"/>
      <c r="C35" s="74">
        <f>'C3C'!C197</f>
        <v>4037882.2300000004</v>
      </c>
      <c r="D35" s="36">
        <f>'C3C'!D197</f>
        <v>9914000</v>
      </c>
      <c r="E35" s="34">
        <f>'C3C'!E197</f>
        <v>13131406.209999999</v>
      </c>
      <c r="F35" s="34">
        <f>'C3C'!F197</f>
        <v>627799.89999999991</v>
      </c>
      <c r="G35" s="34">
        <f>'C3C'!G197</f>
        <v>8231496.2999999998</v>
      </c>
      <c r="H35" s="34">
        <f>'C3C'!H197</f>
        <v>9909273.7400000002</v>
      </c>
      <c r="I35" s="34">
        <f t="shared" si="3"/>
        <v>-1677777.4400000004</v>
      </c>
      <c r="J35" s="251">
        <f>IF(I35=0,"",I35/H35)</f>
        <v>-0.16931386537718154</v>
      </c>
      <c r="K35" s="78">
        <f>'C3C'!K197</f>
        <v>13131406.209999999</v>
      </c>
      <c r="M35" s="58"/>
      <c r="N35" s="58"/>
      <c r="O35" s="58"/>
      <c r="P35" s="58"/>
      <c r="Q35" s="58"/>
      <c r="R35" s="58"/>
      <c r="S35" s="58"/>
      <c r="T35" s="58"/>
      <c r="U35" s="58"/>
      <c r="V35" s="58"/>
      <c r="W35" s="58"/>
    </row>
    <row r="36" spans="1:23" ht="11.25" customHeight="1" x14ac:dyDescent="0.25">
      <c r="A36" s="30" t="str">
        <f>'Org structure'!A17</f>
        <v>Vote 13 - OFFICE OF THE MUNICIPAL MANAGER</v>
      </c>
      <c r="B36" s="90"/>
      <c r="C36" s="74">
        <f>'C3C'!C200</f>
        <v>43801447.909999996</v>
      </c>
      <c r="D36" s="36">
        <f>'C3C'!D200</f>
        <v>65090500</v>
      </c>
      <c r="E36" s="34">
        <f>'C3C'!E200</f>
        <v>74372400.429999992</v>
      </c>
      <c r="F36" s="34">
        <f>'C3C'!F200</f>
        <v>2854703.31</v>
      </c>
      <c r="G36" s="34">
        <f>'C3C'!G200</f>
        <v>37752815.609999999</v>
      </c>
      <c r="H36" s="34">
        <f>'C3C'!H200</f>
        <v>49444851.280000009</v>
      </c>
      <c r="I36" s="34">
        <f t="shared" si="3"/>
        <v>-11692035.670000009</v>
      </c>
      <c r="J36" s="251">
        <f>IF(I36=0,"",I36/H36)</f>
        <v>-0.23646619147036105</v>
      </c>
      <c r="K36" s="78">
        <f>'C3C'!K200</f>
        <v>74372400.429999992</v>
      </c>
      <c r="M36" s="58"/>
      <c r="N36" s="58"/>
      <c r="O36" s="58"/>
      <c r="P36" s="58"/>
      <c r="Q36" s="58"/>
      <c r="R36" s="58"/>
      <c r="S36" s="58"/>
      <c r="T36" s="58"/>
      <c r="U36" s="58"/>
      <c r="V36" s="58"/>
      <c r="W36" s="58"/>
    </row>
    <row r="37" spans="1:23" ht="11.25" customHeight="1" x14ac:dyDescent="0.25">
      <c r="A37" s="30" t="str">
        <f>'Org structure'!A18</f>
        <v>Vote 14 - CORPORATE SERVICES - LEGAL SERVICES</v>
      </c>
      <c r="B37" s="90"/>
      <c r="C37" s="74">
        <f>'C3C'!C214</f>
        <v>12856189.609999999</v>
      </c>
      <c r="D37" s="36">
        <f>'C3C'!D214</f>
        <v>0</v>
      </c>
      <c r="E37" s="34">
        <f>'C3C'!E214</f>
        <v>-1581899.99</v>
      </c>
      <c r="F37" s="34">
        <f>'C3C'!F214</f>
        <v>-415645.22</v>
      </c>
      <c r="G37" s="34">
        <f>'C3C'!G214</f>
        <v>-2384217.7400000002</v>
      </c>
      <c r="H37" s="34">
        <f>'C3C'!H214</f>
        <v>-1894975.19</v>
      </c>
      <c r="I37" s="34">
        <f t="shared" si="3"/>
        <v>-489242.55000000028</v>
      </c>
      <c r="J37" s="251">
        <f>IF(I37=0,"",I37/H37)</f>
        <v>0.25817886829431275</v>
      </c>
      <c r="K37" s="78">
        <f>'C3C'!K214</f>
        <v>-1581899.99</v>
      </c>
      <c r="M37" s="58"/>
      <c r="N37" s="58"/>
      <c r="O37" s="58"/>
      <c r="P37" s="58"/>
      <c r="Q37" s="58"/>
      <c r="R37" s="58"/>
      <c r="S37" s="58"/>
      <c r="T37" s="58"/>
      <c r="U37" s="58"/>
      <c r="V37" s="58"/>
      <c r="W37" s="58"/>
    </row>
    <row r="38" spans="1:23" ht="12.75" customHeight="1" x14ac:dyDescent="0.25">
      <c r="A38" s="30" t="str">
        <f>'Org structure'!A19</f>
        <v>Vote 15 - INFRASTRUCTURE SERVICES - INFRASTRUCTURE SUPPORT SERVICES</v>
      </c>
      <c r="B38" s="90"/>
      <c r="C38" s="74">
        <f>'C3C'!C216</f>
        <v>15930861.960000001</v>
      </c>
      <c r="D38" s="36">
        <f>'C3C'!D216</f>
        <v>15989800</v>
      </c>
      <c r="E38" s="34">
        <f>'C3C'!E216</f>
        <v>17818748.640000001</v>
      </c>
      <c r="F38" s="34">
        <f>'C3C'!F216</f>
        <v>903023.62000000011</v>
      </c>
      <c r="G38" s="34">
        <f>'C3C'!G216</f>
        <v>12972311.779999999</v>
      </c>
      <c r="H38" s="34">
        <f>'C3C'!H216</f>
        <v>12787582.549999999</v>
      </c>
      <c r="I38" s="34">
        <f t="shared" si="3"/>
        <v>184729.23000000045</v>
      </c>
      <c r="J38" s="251">
        <f t="shared" si="4"/>
        <v>1.4445985335985219E-2</v>
      </c>
      <c r="K38" s="78">
        <f>'C3C'!K216</f>
        <v>17818748.640000001</v>
      </c>
      <c r="M38" s="58"/>
      <c r="N38" s="58"/>
      <c r="O38" s="58"/>
      <c r="P38" s="58"/>
      <c r="Q38" s="58"/>
      <c r="R38" s="58"/>
      <c r="S38" s="58"/>
      <c r="T38" s="58"/>
      <c r="U38" s="58"/>
      <c r="V38" s="58"/>
      <c r="W38" s="58"/>
    </row>
    <row r="39" spans="1:23" ht="12.75" customHeight="1" x14ac:dyDescent="0.25">
      <c r="A39" s="62" t="s">
        <v>583</v>
      </c>
      <c r="B39" s="127">
        <v>2</v>
      </c>
      <c r="C39" s="212">
        <f>SUM(C24:C38)</f>
        <v>5256459078.2799988</v>
      </c>
      <c r="D39" s="207">
        <f t="shared" ref="D39:I39" si="5">SUM(D24:D38)</f>
        <v>5589918300</v>
      </c>
      <c r="E39" s="200">
        <f t="shared" si="5"/>
        <v>5623917106.250001</v>
      </c>
      <c r="F39" s="200">
        <f t="shared" si="5"/>
        <v>380803362.14999992</v>
      </c>
      <c r="G39" s="200">
        <f t="shared" si="5"/>
        <v>4535002739.829999</v>
      </c>
      <c r="H39" s="200">
        <f t="shared" si="5"/>
        <v>4582997169.0500002</v>
      </c>
      <c r="I39" s="200">
        <f t="shared" si="5"/>
        <v>-47994429.220000207</v>
      </c>
      <c r="J39" s="254">
        <f>IF(I39=0,"",I39/H39)</f>
        <v>-1.0472279918503391E-2</v>
      </c>
      <c r="K39" s="211">
        <f>SUM(K24:K38)</f>
        <v>5623917106.250001</v>
      </c>
      <c r="L39" s="316"/>
      <c r="M39" s="316"/>
      <c r="N39" s="316"/>
      <c r="O39" s="316"/>
      <c r="P39" s="316"/>
      <c r="Q39" s="316"/>
      <c r="R39" s="316"/>
      <c r="S39" s="316"/>
      <c r="T39" s="316"/>
      <c r="U39" s="316"/>
      <c r="V39" s="316"/>
      <c r="W39" s="316"/>
    </row>
    <row r="40" spans="1:23" ht="12.75" customHeight="1" x14ac:dyDescent="0.25">
      <c r="A40" s="40" t="str">
        <f>result</f>
        <v>Surplus/ (Deficit) for the year</v>
      </c>
      <c r="B40" s="130">
        <v>2</v>
      </c>
      <c r="C40" s="129">
        <f t="shared" ref="C40:H40" si="6">C21-C39</f>
        <v>9550146.2500019073</v>
      </c>
      <c r="D40" s="42">
        <f t="shared" si="6"/>
        <v>228536500</v>
      </c>
      <c r="E40" s="41">
        <f t="shared" si="6"/>
        <v>-58869259.250000954</v>
      </c>
      <c r="F40" s="41">
        <f t="shared" si="6"/>
        <v>5309854.0800001621</v>
      </c>
      <c r="G40" s="41">
        <f t="shared" si="6"/>
        <v>82492701.570000648</v>
      </c>
      <c r="H40" s="41">
        <f t="shared" si="6"/>
        <v>40796831.729999542</v>
      </c>
      <c r="I40" s="41">
        <f>I21-I39</f>
        <v>41695869.840000063</v>
      </c>
      <c r="J40" s="255">
        <f>IF(I40=0,"",I40/H40)</f>
        <v>1.0220369590450187</v>
      </c>
      <c r="K40" s="129">
        <f>K21-K39</f>
        <v>-58869259.250000954</v>
      </c>
      <c r="L40" s="316"/>
      <c r="M40" s="316"/>
      <c r="N40" s="316"/>
      <c r="O40" s="316"/>
      <c r="P40" s="316"/>
      <c r="Q40" s="316"/>
      <c r="R40" s="316"/>
      <c r="S40" s="316"/>
      <c r="T40" s="316"/>
      <c r="U40" s="316"/>
      <c r="V40" s="316"/>
      <c r="W40" s="316"/>
    </row>
    <row r="41" spans="1:23" ht="11.25" customHeight="1" x14ac:dyDescent="0.25">
      <c r="A41" s="64" t="str">
        <f>head27a</f>
        <v>References</v>
      </c>
      <c r="C41" s="316"/>
      <c r="D41" s="316"/>
      <c r="E41" s="316"/>
      <c r="F41" s="316"/>
      <c r="G41" s="316"/>
      <c r="H41" s="316"/>
      <c r="I41" s="316"/>
      <c r="J41" s="316"/>
      <c r="K41" s="316"/>
    </row>
    <row r="42" spans="1:23" ht="11.25" customHeight="1" x14ac:dyDescent="0.25">
      <c r="A42" s="315" t="s">
        <v>662</v>
      </c>
      <c r="C42" s="316"/>
      <c r="D42" s="316"/>
      <c r="E42" s="316"/>
      <c r="F42" s="316"/>
      <c r="G42" s="316"/>
      <c r="H42" s="316"/>
      <c r="I42" s="316"/>
      <c r="J42" s="316"/>
      <c r="K42" s="316"/>
    </row>
    <row r="43" spans="1:23" ht="11.25" customHeight="1" x14ac:dyDescent="0.25">
      <c r="A43" s="27" t="s">
        <v>122</v>
      </c>
      <c r="C43" s="316"/>
      <c r="D43" s="316"/>
      <c r="E43" s="316"/>
      <c r="F43" s="316"/>
      <c r="G43" s="316"/>
      <c r="H43" s="316"/>
      <c r="I43" s="316"/>
      <c r="J43" s="316"/>
      <c r="K43" s="316"/>
    </row>
    <row r="44" spans="1:23" ht="11.25" customHeight="1" x14ac:dyDescent="0.25">
      <c r="A44" s="27"/>
      <c r="B44" s="44"/>
      <c r="C44" s="46"/>
      <c r="D44" s="46"/>
      <c r="E44" s="46"/>
      <c r="F44" s="46"/>
      <c r="G44" s="46"/>
      <c r="H44" s="46"/>
      <c r="I44" s="46"/>
      <c r="J44" s="46"/>
      <c r="K44" s="46"/>
    </row>
    <row r="45" spans="1:23" ht="11.25" customHeight="1" x14ac:dyDescent="0.25"/>
    <row r="46" spans="1:23" ht="11.25" customHeight="1" x14ac:dyDescent="0.25">
      <c r="A46" s="45"/>
      <c r="B46" s="44"/>
      <c r="C46" s="247"/>
      <c r="D46" s="247"/>
      <c r="E46" s="247"/>
      <c r="F46" s="247"/>
      <c r="G46" s="247"/>
      <c r="H46" s="247"/>
      <c r="I46" s="247"/>
      <c r="J46" s="247"/>
      <c r="K46" s="247"/>
    </row>
    <row r="47" spans="1:23" ht="11.25" customHeight="1" x14ac:dyDescent="0.25">
      <c r="A47" s="45"/>
      <c r="B47" s="44"/>
      <c r="C47" s="247"/>
      <c r="D47" s="247"/>
      <c r="E47" s="247"/>
      <c r="F47" s="247"/>
      <c r="G47" s="247"/>
      <c r="H47" s="247"/>
      <c r="I47" s="247"/>
      <c r="J47" s="247"/>
      <c r="K47" s="247"/>
    </row>
    <row r="48" spans="1:23"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3">
    <mergeCell ref="A1:K1"/>
    <mergeCell ref="B2:B4"/>
    <mergeCell ref="D2:K2"/>
  </mergeCells>
  <phoneticPr fontId="2" type="noConversion"/>
  <printOptions horizontalCentered="1"/>
  <pageMargins left="0.35433070866141736" right="0.15748031496062992" top="0.78740157480314965" bottom="0.59055118110236227" header="0.51181102362204722" footer="0.39370078740157483"/>
  <pageSetup paperSize="8" scale="95" orientation="portrait" r:id="rId1"/>
  <headerFooter alignWithMargins="0">
    <oddFooter>&amp;L&amp;F&amp;C&amp;A&amp;R&amp;D</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259"/>
  <sheetViews>
    <sheetView showGridLines="0" showZeros="0" zoomScaleNormal="100" workbookViewId="0">
      <pane xSplit="2" ySplit="4" topLeftCell="C5" activePane="bottomRight" state="frozen"/>
      <selection pane="topRight"/>
      <selection pane="bottomLeft"/>
      <selection pane="bottomRight"/>
    </sheetView>
  </sheetViews>
  <sheetFormatPr defaultColWidth="9.28515625" defaultRowHeight="12.75" x14ac:dyDescent="0.25"/>
  <cols>
    <col min="1" max="1" width="71.28515625" style="21" customWidth="1"/>
    <col min="2" max="2" width="3" style="47" customWidth="1"/>
    <col min="3" max="11" width="9.28515625" style="21" customWidth="1"/>
    <col min="12" max="23" width="0" style="21" hidden="1" customWidth="1"/>
    <col min="24" max="16384" width="9.28515625" style="21"/>
  </cols>
  <sheetData>
    <row r="1" spans="1:24" s="203" customFormat="1" x14ac:dyDescent="0.2">
      <c r="A1" s="202" t="str">
        <f>muni&amp; " - "&amp;S71C&amp; " - "&amp;"A"&amp; " - "&amp;date</f>
        <v>KZN282 uMhlathuze - Table C3 Monthly Budget Statement - Financial Performance (revenue and expenditure by municipal vote) - A - M10 April</v>
      </c>
      <c r="B1" s="202"/>
      <c r="C1" s="202"/>
      <c r="D1" s="202"/>
      <c r="E1" s="202"/>
      <c r="F1" s="202"/>
      <c r="G1" s="202"/>
      <c r="H1" s="202"/>
      <c r="I1" s="202"/>
      <c r="J1" s="202"/>
      <c r="K1" s="202"/>
    </row>
    <row r="2" spans="1:24" ht="28.5" customHeight="1" x14ac:dyDescent="0.25">
      <c r="A2" s="204" t="str">
        <f>Vdesc</f>
        <v>Vote Description</v>
      </c>
      <c r="B2" s="205" t="str">
        <f>head27</f>
        <v>Ref</v>
      </c>
      <c r="C2" s="77" t="str">
        <f>Head1</f>
        <v>2023/24</v>
      </c>
      <c r="D2" s="832" t="str">
        <f>Head2</f>
        <v>Budget Year 2024/25</v>
      </c>
      <c r="E2" s="833"/>
      <c r="F2" s="833"/>
      <c r="G2" s="833"/>
      <c r="H2" s="833"/>
      <c r="I2" s="833"/>
      <c r="J2" s="833"/>
      <c r="K2" s="834"/>
      <c r="L2" s="843" t="e">
        <f>Head4</f>
        <v>#NAME?</v>
      </c>
      <c r="M2" s="844"/>
      <c r="N2" s="844"/>
      <c r="O2" s="844"/>
      <c r="P2" s="844"/>
      <c r="Q2" s="844"/>
      <c r="R2" s="844"/>
      <c r="S2" s="844"/>
      <c r="T2" s="844"/>
      <c r="U2" s="844"/>
      <c r="V2" s="844"/>
      <c r="W2" s="845"/>
    </row>
    <row r="3" spans="1:24" ht="25.5" x14ac:dyDescent="0.25">
      <c r="A3" s="208" t="s">
        <v>103</v>
      </c>
      <c r="B3" s="209"/>
      <c r="C3" s="95" t="str">
        <f>Head5</f>
        <v>Audited Outcome</v>
      </c>
      <c r="D3" s="80" t="str">
        <f>Head6</f>
        <v>Original Budget</v>
      </c>
      <c r="E3" s="22" t="str">
        <f>Head7</f>
        <v>Adjusted Budget</v>
      </c>
      <c r="F3" s="22" t="str">
        <f>Head38</f>
        <v>Monthly actual</v>
      </c>
      <c r="G3" s="22" t="str">
        <f>Head39</f>
        <v>YearTD actual</v>
      </c>
      <c r="H3" s="22" t="str">
        <f>Head40</f>
        <v>YearTD budget</v>
      </c>
      <c r="I3" s="22" t="str">
        <f>Head41</f>
        <v>YTD variance</v>
      </c>
      <c r="J3" s="323" t="str">
        <f>Head41</f>
        <v>YTD variance</v>
      </c>
      <c r="K3" s="95" t="str">
        <f>Head8</f>
        <v>Full Year Forecast</v>
      </c>
      <c r="L3" s="337" t="str">
        <f>Head12</f>
        <v>Forecast 2010/11</v>
      </c>
      <c r="M3" s="338" t="str">
        <f>Head13</f>
        <v>Forecast 2011/12</v>
      </c>
      <c r="N3" s="338" t="str">
        <f>Head14</f>
        <v>Forecast 2012/13</v>
      </c>
      <c r="O3" s="338" t="str">
        <f>Head15</f>
        <v>Forecast 2013/14</v>
      </c>
      <c r="P3" s="338" t="str">
        <f>Head16</f>
        <v>Forecast 2014/15</v>
      </c>
      <c r="Q3" s="338" t="str">
        <f>Head17</f>
        <v>Forecast 2015/16</v>
      </c>
      <c r="R3" s="338" t="str">
        <f>Head18</f>
        <v>Forecast 2016/17</v>
      </c>
      <c r="S3" s="338" t="str">
        <f>Head19</f>
        <v>Forecast 2017/18</v>
      </c>
      <c r="T3" s="338" t="str">
        <f>Head20</f>
        <v>Forecast 2018/19</v>
      </c>
      <c r="U3" s="338" t="str">
        <f>Head21</f>
        <v>Forecast 2019/20</v>
      </c>
      <c r="V3" s="338" t="str">
        <f>Head22</f>
        <v>Forecast 2020/21</v>
      </c>
      <c r="W3" s="338" t="str">
        <f>Head23</f>
        <v>Forecast 2021/22</v>
      </c>
      <c r="X3" s="32"/>
    </row>
    <row r="4" spans="1:24" ht="11.25" customHeight="1" x14ac:dyDescent="0.25">
      <c r="A4" s="28"/>
      <c r="B4" s="206"/>
      <c r="C4" s="120"/>
      <c r="D4" s="134"/>
      <c r="E4" s="135"/>
      <c r="F4" s="57"/>
      <c r="G4" s="57"/>
      <c r="H4" s="57"/>
      <c r="I4" s="57"/>
      <c r="J4" s="324" t="s">
        <v>528</v>
      </c>
      <c r="K4" s="120"/>
      <c r="L4" s="339"/>
      <c r="M4" s="340"/>
      <c r="N4" s="340"/>
      <c r="O4" s="340"/>
      <c r="P4" s="340"/>
      <c r="Q4" s="340"/>
      <c r="R4" s="340"/>
      <c r="S4" s="340"/>
      <c r="T4" s="340"/>
      <c r="U4" s="340"/>
      <c r="V4" s="340"/>
      <c r="W4" s="340"/>
      <c r="X4" s="32"/>
    </row>
    <row r="5" spans="1:24" ht="11.25" customHeight="1" x14ac:dyDescent="0.25">
      <c r="A5" s="29" t="s">
        <v>697</v>
      </c>
      <c r="B5" s="197">
        <v>1</v>
      </c>
      <c r="C5" s="705"/>
      <c r="D5" s="722"/>
      <c r="E5" s="343"/>
      <c r="F5" s="344"/>
      <c r="G5" s="345"/>
      <c r="H5" s="344"/>
      <c r="I5" s="345"/>
      <c r="J5" s="346"/>
      <c r="K5" s="347"/>
      <c r="L5" s="339"/>
      <c r="M5" s="340"/>
      <c r="N5" s="340"/>
      <c r="O5" s="340"/>
      <c r="P5" s="340"/>
      <c r="Q5" s="340"/>
      <c r="R5" s="340"/>
      <c r="S5" s="340"/>
      <c r="T5" s="340"/>
      <c r="U5" s="340"/>
      <c r="V5" s="340"/>
      <c r="W5" s="340"/>
      <c r="X5" s="32"/>
    </row>
    <row r="6" spans="1:24" ht="11.25" customHeight="1" x14ac:dyDescent="0.25">
      <c r="A6" s="66" t="str">
        <f>'Org structure'!A2</f>
        <v>Vote 1 - CITY DEVELOPMENT</v>
      </c>
      <c r="B6" s="132"/>
      <c r="C6" s="707">
        <f>SUM(C7:C19)</f>
        <v>245280071.96000004</v>
      </c>
      <c r="D6" s="350">
        <f t="shared" ref="D6:H6" si="0">SUM(D7:D19)</f>
        <v>81325600</v>
      </c>
      <c r="E6" s="348">
        <f t="shared" si="0"/>
        <v>98239900</v>
      </c>
      <c r="F6" s="348">
        <f t="shared" si="0"/>
        <v>20267267.41</v>
      </c>
      <c r="G6" s="348">
        <f t="shared" si="0"/>
        <v>47791187.420000002</v>
      </c>
      <c r="H6" s="348">
        <f t="shared" si="0"/>
        <v>44384933.490000002</v>
      </c>
      <c r="I6" s="34">
        <f t="shared" ref="I6:I69" si="1">G6-H6</f>
        <v>3406253.9299999997</v>
      </c>
      <c r="J6" s="351">
        <f t="shared" ref="J6:J38" si="2">IF(I6=0,"",I6/H6)</f>
        <v>7.6743472664376852E-2</v>
      </c>
      <c r="K6" s="348">
        <f>SUM(K7:K19)</f>
        <v>98239900</v>
      </c>
      <c r="L6" s="339"/>
      <c r="M6" s="340"/>
      <c r="N6" s="340"/>
      <c r="O6" s="340"/>
      <c r="P6" s="340"/>
      <c r="Q6" s="340"/>
      <c r="R6" s="340"/>
      <c r="S6" s="340"/>
      <c r="T6" s="340"/>
      <c r="U6" s="340"/>
      <c r="V6" s="340"/>
      <c r="W6" s="340"/>
      <c r="X6" s="32"/>
    </row>
    <row r="7" spans="1:24" ht="11.25" customHeight="1" x14ac:dyDescent="0.25">
      <c r="A7" s="30" t="str">
        <f>'Org structure'!E3</f>
        <v>1.1 - FX005001014 - Valuation Service (Finance and Administration) - BR</v>
      </c>
      <c r="B7" s="197"/>
      <c r="C7" s="708">
        <f>-'C3Q'!B5</f>
        <v>66280.52</v>
      </c>
      <c r="D7" s="703">
        <f>-'C3Q'!C5</f>
        <v>27900</v>
      </c>
      <c r="E7" s="352">
        <f>-'C3Q'!D5</f>
        <v>28000</v>
      </c>
      <c r="F7" s="352">
        <f>-'C3Q'!E5</f>
        <v>2275</v>
      </c>
      <c r="G7" s="352">
        <f>-'C3Q'!F5</f>
        <v>22766.18</v>
      </c>
      <c r="H7" s="352">
        <f>-'C3Q'!G5</f>
        <v>22909.05</v>
      </c>
      <c r="I7" s="34">
        <f t="shared" si="1"/>
        <v>-142.86999999999898</v>
      </c>
      <c r="J7" s="351">
        <f>IF(H7=0,"",I7/H7)</f>
        <v>-6.2364000253174613E-3</v>
      </c>
      <c r="K7" s="352">
        <f>-'C3Q'!J5</f>
        <v>28000</v>
      </c>
      <c r="L7" s="339"/>
      <c r="M7" s="340"/>
      <c r="N7" s="340"/>
      <c r="O7" s="340"/>
      <c r="P7" s="340"/>
      <c r="Q7" s="340"/>
      <c r="R7" s="340"/>
      <c r="S7" s="340"/>
      <c r="T7" s="340"/>
      <c r="U7" s="340"/>
      <c r="V7" s="340"/>
      <c r="W7" s="340"/>
      <c r="X7" s="32"/>
    </row>
    <row r="8" spans="1:24" ht="11.25" customHeight="1" x14ac:dyDescent="0.25">
      <c r="A8" s="30" t="str">
        <f>'Org structure'!E4</f>
        <v>1.2 - FX007001001 - Housing (Housing) - BT</v>
      </c>
      <c r="B8" s="197"/>
      <c r="C8" s="708">
        <f>-'C3Q'!B6</f>
        <v>135481643.83000001</v>
      </c>
      <c r="D8" s="703">
        <f>-'C3Q'!C6</f>
        <v>71028900</v>
      </c>
      <c r="E8" s="352">
        <f>-'C3Q'!D6</f>
        <v>72744000</v>
      </c>
      <c r="F8" s="352">
        <f>-'C3Q'!E6</f>
        <v>202118.68</v>
      </c>
      <c r="G8" s="352">
        <f>-'C3Q'!F6</f>
        <v>17679249.719999999</v>
      </c>
      <c r="H8" s="352">
        <f>-'C3Q'!G6</f>
        <v>32767799.600000001</v>
      </c>
      <c r="I8" s="34">
        <f t="shared" si="1"/>
        <v>-15088549.880000003</v>
      </c>
      <c r="J8" s="351">
        <f t="shared" si="2"/>
        <v>-0.46046881585542904</v>
      </c>
      <c r="K8" s="352">
        <f>-'C3Q'!J6</f>
        <v>72744000</v>
      </c>
      <c r="L8" s="339"/>
      <c r="M8" s="340"/>
      <c r="N8" s="340"/>
      <c r="O8" s="340"/>
      <c r="P8" s="340"/>
      <c r="Q8" s="340"/>
      <c r="R8" s="340"/>
      <c r="S8" s="340"/>
      <c r="T8" s="340"/>
      <c r="U8" s="340"/>
      <c r="V8" s="340"/>
      <c r="W8" s="340"/>
      <c r="X8" s="32"/>
    </row>
    <row r="9" spans="1:24" ht="11.25" customHeight="1" x14ac:dyDescent="0.25">
      <c r="A9" s="30" t="str">
        <f>'Org structure'!E5</f>
        <v>1.3 - FX009002006 - Tourism (Other) - BX</v>
      </c>
      <c r="B9" s="197"/>
      <c r="C9" s="708">
        <f>-'C3Q'!B7</f>
        <v>69144.240000000005</v>
      </c>
      <c r="D9" s="703">
        <f>-'C3Q'!C7</f>
        <v>40900</v>
      </c>
      <c r="E9" s="352">
        <f>-'C3Q'!D7</f>
        <v>41000</v>
      </c>
      <c r="F9" s="352">
        <f>-'C3Q'!E7</f>
        <v>3408.33</v>
      </c>
      <c r="G9" s="352">
        <f>-'C3Q'!F7</f>
        <v>34109.57</v>
      </c>
      <c r="H9" s="352">
        <f>-'C3Q'!G7</f>
        <v>34103.769999999997</v>
      </c>
      <c r="I9" s="34">
        <f t="shared" si="1"/>
        <v>5.8000000000029104</v>
      </c>
      <c r="J9" s="351">
        <f>IF(H9=0,"",I9/H9)</f>
        <v>1.7006917417056563E-4</v>
      </c>
      <c r="K9" s="352">
        <f>-'C3Q'!J7</f>
        <v>41000</v>
      </c>
      <c r="L9" s="339"/>
      <c r="M9" s="340"/>
      <c r="N9" s="340"/>
      <c r="O9" s="340"/>
      <c r="P9" s="340"/>
      <c r="Q9" s="340"/>
      <c r="R9" s="340"/>
      <c r="S9" s="340"/>
      <c r="T9" s="340"/>
      <c r="U9" s="340"/>
      <c r="V9" s="340"/>
      <c r="W9" s="340"/>
      <c r="X9" s="32"/>
    </row>
    <row r="10" spans="1:24" ht="11.25" customHeight="1" x14ac:dyDescent="0.25">
      <c r="A10" s="30" t="str">
        <f>'Org structure'!E6</f>
        <v>1.4 - FX010001001 - Billboards (Planning and Development) - BY</v>
      </c>
      <c r="B10" s="197"/>
      <c r="C10" s="708">
        <f>-'C3Q'!B8</f>
        <v>43514.74</v>
      </c>
      <c r="D10" s="703">
        <f>-'C3Q'!C8</f>
        <v>13600</v>
      </c>
      <c r="E10" s="352">
        <f>-'C3Q'!D8</f>
        <v>13800</v>
      </c>
      <c r="F10" s="352">
        <f>-'C3Q'!E8</f>
        <v>1133.3399999999999</v>
      </c>
      <c r="G10" s="352">
        <f>-'C3Q'!F8</f>
        <v>11333.4</v>
      </c>
      <c r="H10" s="352">
        <f>-'C3Q'!G8</f>
        <v>11419.08</v>
      </c>
      <c r="I10" s="34">
        <f t="shared" si="1"/>
        <v>-85.680000000000291</v>
      </c>
      <c r="J10" s="351">
        <f>IF(H10=0,"",I10/H10)</f>
        <v>-7.503231433705718E-3</v>
      </c>
      <c r="K10" s="352">
        <f>-'C3Q'!J8</f>
        <v>13800</v>
      </c>
      <c r="L10" s="339"/>
      <c r="M10" s="340"/>
      <c r="N10" s="340"/>
      <c r="O10" s="340"/>
      <c r="P10" s="340"/>
      <c r="Q10" s="340"/>
      <c r="R10" s="340"/>
      <c r="S10" s="340"/>
      <c r="T10" s="340"/>
      <c r="U10" s="340"/>
      <c r="V10" s="340"/>
      <c r="W10" s="340"/>
      <c r="X10" s="32"/>
    </row>
    <row r="11" spans="1:24" ht="11.25" customHeight="1" x14ac:dyDescent="0.25">
      <c r="A11" s="30" t="str">
        <f>'Org structure'!E7</f>
        <v>1.5 - FX010001002 - Corporate Wide Strategic Planning (IDPs, LEDs) (Planning and Development) - BZ</v>
      </c>
      <c r="B11" s="197"/>
      <c r="C11" s="708">
        <f>-'C3Q'!B9</f>
        <v>2180978.12</v>
      </c>
      <c r="D11" s="703">
        <f>-'C3Q'!C9</f>
        <v>150100</v>
      </c>
      <c r="E11" s="352">
        <f>-'C3Q'!D9</f>
        <v>150100</v>
      </c>
      <c r="F11" s="352">
        <f>-'C3Q'!E9</f>
        <v>12508.33</v>
      </c>
      <c r="G11" s="352">
        <f>-'C3Q'!F9</f>
        <v>125083.3</v>
      </c>
      <c r="H11" s="352">
        <f>-'C3Q'!G9</f>
        <v>125083.33</v>
      </c>
      <c r="I11" s="34">
        <f t="shared" si="1"/>
        <v>-2.9999999998835847E-2</v>
      </c>
      <c r="J11" s="351">
        <f>IF(H11=0,"",I11/H11)</f>
        <v>-2.3984011297777126E-7</v>
      </c>
      <c r="K11" s="352">
        <f>-'C3Q'!J9</f>
        <v>150100</v>
      </c>
      <c r="L11" s="339"/>
      <c r="M11" s="340"/>
      <c r="N11" s="340"/>
      <c r="O11" s="340"/>
      <c r="P11" s="340"/>
      <c r="Q11" s="340"/>
      <c r="R11" s="340"/>
      <c r="S11" s="340"/>
      <c r="T11" s="340"/>
      <c r="U11" s="340"/>
      <c r="V11" s="340"/>
      <c r="W11" s="340"/>
      <c r="X11" s="32"/>
    </row>
    <row r="12" spans="1:24" ht="11.25" customHeight="1" x14ac:dyDescent="0.25">
      <c r="A12" s="30" t="str">
        <f>'Org structure'!E8</f>
        <v>1.6 - FX010001004 - Development Facilitation (Planning and Deveopment) - CA</v>
      </c>
      <c r="B12" s="197"/>
      <c r="C12" s="708">
        <f>-'C3Q'!B10</f>
        <v>100570210.08</v>
      </c>
      <c r="D12" s="703">
        <f>-'C3Q'!C10</f>
        <v>1911700</v>
      </c>
      <c r="E12" s="352">
        <f>-'C3Q'!D10</f>
        <v>2811700</v>
      </c>
      <c r="F12" s="352">
        <f>-'C3Q'!E10</f>
        <v>181497.05</v>
      </c>
      <c r="G12" s="352">
        <f>-'C3Q'!F10</f>
        <v>12451259.42</v>
      </c>
      <c r="H12" s="352">
        <f>-'C3Q'!G10</f>
        <v>12659101.74</v>
      </c>
      <c r="I12" s="34">
        <f t="shared" si="1"/>
        <v>-207842.3200000003</v>
      </c>
      <c r="J12" s="351">
        <f t="shared" si="2"/>
        <v>-1.6418409794690558E-2</v>
      </c>
      <c r="K12" s="352">
        <f>-'C3Q'!J10</f>
        <v>2811700</v>
      </c>
      <c r="L12" s="339"/>
      <c r="M12" s="340"/>
      <c r="N12" s="340"/>
      <c r="O12" s="340"/>
      <c r="P12" s="340"/>
      <c r="Q12" s="340"/>
      <c r="R12" s="340"/>
      <c r="S12" s="340"/>
      <c r="T12" s="340"/>
      <c r="U12" s="340"/>
      <c r="V12" s="340"/>
      <c r="W12" s="340"/>
      <c r="X12" s="32"/>
    </row>
    <row r="13" spans="1:24" ht="11.25" customHeight="1" x14ac:dyDescent="0.25">
      <c r="A13" s="30" t="str">
        <f>'Org structure'!E9</f>
        <v>1.7 - FX010001005 - Economic Development/Planning (Planning and Development) - CC</v>
      </c>
      <c r="B13" s="197"/>
      <c r="C13" s="708">
        <f>-'C3Q'!B11</f>
        <v>1087238.75</v>
      </c>
      <c r="D13" s="703">
        <f>-'C3Q'!C11</f>
        <v>3245800</v>
      </c>
      <c r="E13" s="352">
        <f>-'C3Q'!D11</f>
        <v>17145800</v>
      </c>
      <c r="F13" s="352">
        <f>-'C3Q'!E11</f>
        <v>19442633.629999999</v>
      </c>
      <c r="G13" s="352">
        <f>-'C3Q'!F11</f>
        <v>13188879.539999999</v>
      </c>
      <c r="H13" s="352">
        <f>-'C3Q'!G11</f>
        <v>-5333181.82</v>
      </c>
      <c r="I13" s="34">
        <f t="shared" si="1"/>
        <v>18522061.359999999</v>
      </c>
      <c r="J13" s="351">
        <f t="shared" si="2"/>
        <v>-3.472985168167396</v>
      </c>
      <c r="K13" s="352">
        <f>-'C3Q'!J11</f>
        <v>17145800</v>
      </c>
      <c r="L13" s="339"/>
      <c r="M13" s="340"/>
      <c r="N13" s="340"/>
      <c r="O13" s="340"/>
      <c r="P13" s="340"/>
      <c r="Q13" s="340"/>
      <c r="R13" s="340"/>
      <c r="S13" s="340"/>
      <c r="T13" s="340"/>
      <c r="U13" s="340"/>
      <c r="V13" s="340"/>
      <c r="W13" s="340"/>
      <c r="X13" s="32"/>
    </row>
    <row r="14" spans="1:24" ht="11.25" customHeight="1" x14ac:dyDescent="0.25">
      <c r="A14" s="30" t="str">
        <f>'Org structure'!E10</f>
        <v>1.8 - FX010001006 - Town Planning, Building Regulations and Enforcement, and City Engineer (Planning and Development) - CD</v>
      </c>
      <c r="B14" s="197"/>
      <c r="C14" s="708">
        <f>-'C3Q'!B12</f>
        <v>2095058</v>
      </c>
      <c r="D14" s="703">
        <f>-'C3Q'!C12</f>
        <v>1456400</v>
      </c>
      <c r="E14" s="352">
        <f>-'C3Q'!D12</f>
        <v>1943100</v>
      </c>
      <c r="F14" s="352">
        <f>-'C3Q'!E12</f>
        <v>179288.58</v>
      </c>
      <c r="G14" s="352">
        <f>-'C3Q'!F12</f>
        <v>1818649.48</v>
      </c>
      <c r="H14" s="352">
        <f>-'C3Q'!G12</f>
        <v>1598670.14</v>
      </c>
      <c r="I14" s="34">
        <f t="shared" si="1"/>
        <v>219979.34000000008</v>
      </c>
      <c r="J14" s="351">
        <f t="shared" si="2"/>
        <v>0.13760145667073015</v>
      </c>
      <c r="K14" s="708">
        <f>-'C3Q'!J12</f>
        <v>1943100</v>
      </c>
      <c r="L14" s="339"/>
      <c r="M14" s="340"/>
      <c r="N14" s="340"/>
      <c r="O14" s="340"/>
      <c r="P14" s="340"/>
      <c r="Q14" s="340"/>
      <c r="R14" s="340"/>
      <c r="S14" s="340"/>
      <c r="T14" s="340"/>
      <c r="U14" s="340"/>
      <c r="V14" s="340"/>
      <c r="W14" s="340"/>
      <c r="X14" s="32"/>
    </row>
    <row r="15" spans="1:24" ht="11.25" customHeight="1" x14ac:dyDescent="0.25">
      <c r="A15" s="30" t="str">
        <f>'Org structure'!E11</f>
        <v>1.9 - FX003001003 - Pollution Control (Environmental Protection) - AR</v>
      </c>
      <c r="B15" s="197"/>
      <c r="C15" s="708">
        <f>-'C3Q'!B13</f>
        <v>99614.46</v>
      </c>
      <c r="D15" s="703">
        <f>-'C3Q'!C13</f>
        <v>65800</v>
      </c>
      <c r="E15" s="352">
        <f>-'C3Q'!D13</f>
        <v>65900</v>
      </c>
      <c r="F15" s="352">
        <f>-'C3Q'!E13</f>
        <v>4550</v>
      </c>
      <c r="G15" s="352">
        <f>-'C3Q'!F13</f>
        <v>221611.81</v>
      </c>
      <c r="H15" s="352">
        <f>-'C3Q'!G13</f>
        <v>221654.68</v>
      </c>
      <c r="I15" s="34">
        <f t="shared" si="1"/>
        <v>-42.869999999995343</v>
      </c>
      <c r="J15" s="351">
        <f t="shared" si="2"/>
        <v>-1.9340895486616997E-4</v>
      </c>
      <c r="K15" s="708">
        <f>-'C3Q'!J13</f>
        <v>65900</v>
      </c>
      <c r="L15" s="339"/>
      <c r="M15" s="340"/>
      <c r="N15" s="340"/>
      <c r="O15" s="340"/>
      <c r="P15" s="340"/>
      <c r="Q15" s="340"/>
      <c r="R15" s="340"/>
      <c r="S15" s="340"/>
      <c r="T15" s="340"/>
      <c r="U15" s="340"/>
      <c r="V15" s="340"/>
      <c r="W15" s="340"/>
      <c r="X15" s="32"/>
    </row>
    <row r="16" spans="1:24" ht="11.25" customHeight="1" x14ac:dyDescent="0.25">
      <c r="A16" s="30" t="str">
        <f>'Org structure'!E12</f>
        <v>1.10 - FX005001010 - Property Services (Finance and Administration) - BN</v>
      </c>
      <c r="B16" s="197"/>
      <c r="C16" s="708">
        <f>-'C3Q'!B14</f>
        <v>431787.13</v>
      </c>
      <c r="D16" s="703">
        <f>-'C3Q'!C14</f>
        <v>464700</v>
      </c>
      <c r="E16" s="352">
        <f>-'C3Q'!D14</f>
        <v>464700</v>
      </c>
      <c r="F16" s="352">
        <f>-'C3Q'!E14</f>
        <v>36286.32</v>
      </c>
      <c r="G16" s="352">
        <f>-'C3Q'!F14</f>
        <v>360363.59</v>
      </c>
      <c r="H16" s="352">
        <f>-'C3Q'!G14</f>
        <v>364218.07</v>
      </c>
      <c r="I16" s="34">
        <f t="shared" si="1"/>
        <v>-3854.4799999999814</v>
      </c>
      <c r="J16" s="351">
        <f t="shared" si="2"/>
        <v>-1.0582890629232046E-2</v>
      </c>
      <c r="K16" s="708">
        <f>-'C3Q'!J14</f>
        <v>464700</v>
      </c>
      <c r="L16" s="339"/>
      <c r="M16" s="340"/>
      <c r="N16" s="340"/>
      <c r="O16" s="340"/>
      <c r="P16" s="340"/>
      <c r="Q16" s="340"/>
      <c r="R16" s="340"/>
      <c r="S16" s="340"/>
      <c r="T16" s="340"/>
      <c r="U16" s="340"/>
      <c r="V16" s="340"/>
      <c r="W16" s="340"/>
    </row>
    <row r="17" spans="1:23" ht="11.25" customHeight="1" x14ac:dyDescent="0.25">
      <c r="A17" s="30" t="str">
        <f>'Org structure'!E13</f>
        <v>1.11 - FX009001004 - Licensing and Regulation (Other) - BW</v>
      </c>
      <c r="B17" s="197"/>
      <c r="C17" s="708">
        <f>-'C3Q'!B15</f>
        <v>136957.85</v>
      </c>
      <c r="D17" s="703">
        <f>-'C3Q'!C15</f>
        <v>245800</v>
      </c>
      <c r="E17" s="352">
        <f>-'C3Q'!D15</f>
        <v>157800</v>
      </c>
      <c r="F17" s="352">
        <f>-'C3Q'!E15</f>
        <v>8898.5499999999993</v>
      </c>
      <c r="G17" s="352">
        <f>-'C3Q'!F15</f>
        <v>207280.59</v>
      </c>
      <c r="H17" s="352">
        <f>-'C3Q'!G15</f>
        <v>201470.15</v>
      </c>
      <c r="I17" s="34">
        <f t="shared" si="1"/>
        <v>5810.4400000000023</v>
      </c>
      <c r="J17" s="351">
        <f>IF(H17=0,"",I17/H17)</f>
        <v>2.8840202878689485E-2</v>
      </c>
      <c r="K17" s="708">
        <f>-'C3Q'!J15</f>
        <v>157800</v>
      </c>
      <c r="L17" s="339"/>
      <c r="M17" s="340"/>
      <c r="N17" s="340"/>
      <c r="O17" s="340"/>
      <c r="P17" s="340"/>
      <c r="Q17" s="340"/>
      <c r="R17" s="340"/>
      <c r="S17" s="340"/>
      <c r="T17" s="340"/>
      <c r="U17" s="340"/>
      <c r="V17" s="340"/>
      <c r="W17" s="340"/>
    </row>
    <row r="18" spans="1:23" ht="11.25" customHeight="1" x14ac:dyDescent="0.25">
      <c r="A18" s="30" t="str">
        <f>'Org structure'!E14</f>
        <v>1.12 - FX012001003001 - Public Transport Facilities and Operations Coordination (Road Transport) - DX</v>
      </c>
      <c r="B18" s="197"/>
      <c r="C18" s="708">
        <f>-'C3Q'!B16</f>
        <v>101644.24</v>
      </c>
      <c r="D18" s="703">
        <f>-'C3Q'!C16</f>
        <v>0</v>
      </c>
      <c r="E18" s="352">
        <f>-'C3Q'!D16</f>
        <v>0</v>
      </c>
      <c r="F18" s="352">
        <f>-'C3Q'!E16</f>
        <v>0</v>
      </c>
      <c r="G18" s="352">
        <f>-'C3Q'!F16</f>
        <v>0</v>
      </c>
      <c r="H18" s="352">
        <f>-'C3Q'!G16</f>
        <v>0</v>
      </c>
      <c r="I18" s="34">
        <f t="shared" si="1"/>
        <v>0</v>
      </c>
      <c r="J18" s="351" t="str">
        <f>IF(H18=0,"",I18/H18)</f>
        <v/>
      </c>
      <c r="K18" s="708">
        <f>-'C3Q'!J16</f>
        <v>0</v>
      </c>
      <c r="L18" s="339"/>
      <c r="M18" s="340"/>
      <c r="N18" s="340"/>
      <c r="O18" s="340"/>
      <c r="P18" s="340"/>
      <c r="Q18" s="340"/>
      <c r="R18" s="340"/>
      <c r="S18" s="340"/>
      <c r="T18" s="340"/>
      <c r="U18" s="340"/>
      <c r="V18" s="340"/>
      <c r="W18" s="340"/>
    </row>
    <row r="19" spans="1:23" ht="11.25" customHeight="1" x14ac:dyDescent="0.25">
      <c r="A19" s="30" t="str">
        <f>'Org structure'!E15</f>
        <v>1.13 - FX010001007003 - Project Management Unit - Expanded Public Works Programme (Planning and Development) - CG</v>
      </c>
      <c r="B19" s="197"/>
      <c r="C19" s="708">
        <f>-'C3Q'!B17</f>
        <v>2916000</v>
      </c>
      <c r="D19" s="703">
        <f>-'C3Q'!C17</f>
        <v>2674000</v>
      </c>
      <c r="E19" s="352">
        <f>-'C3Q'!D17</f>
        <v>2674000</v>
      </c>
      <c r="F19" s="352">
        <f>-'C3Q'!E17</f>
        <v>192669.6</v>
      </c>
      <c r="G19" s="352">
        <f>-'C3Q'!F17</f>
        <v>1670600.82</v>
      </c>
      <c r="H19" s="352">
        <f>-'C3Q'!G17</f>
        <v>1711685.7</v>
      </c>
      <c r="I19" s="34">
        <f t="shared" si="1"/>
        <v>-41084.879999999888</v>
      </c>
      <c r="J19" s="351">
        <f t="shared" si="2"/>
        <v>-2.4002584119269029E-2</v>
      </c>
      <c r="K19" s="708">
        <f>-'C3Q'!J17</f>
        <v>2674000</v>
      </c>
      <c r="L19" s="339"/>
      <c r="M19" s="340"/>
      <c r="N19" s="340"/>
      <c r="O19" s="340"/>
      <c r="P19" s="340"/>
      <c r="Q19" s="340"/>
      <c r="R19" s="340"/>
      <c r="S19" s="340"/>
      <c r="T19" s="340"/>
      <c r="U19" s="340"/>
      <c r="V19" s="340"/>
      <c r="W19" s="340"/>
    </row>
    <row r="20" spans="1:23" ht="11.25" customHeight="1" x14ac:dyDescent="0.25">
      <c r="A20" s="66" t="str">
        <f>'Org structure'!A3</f>
        <v>Vote 2 - COMMUNITY SERVICES - PUBLIC HEALTH AND EMERGENCY SERVICES</v>
      </c>
      <c r="B20" s="132"/>
      <c r="C20" s="707">
        <f t="shared" ref="C20:H20" si="3">SUM(C21:C27)</f>
        <v>239640794.66000003</v>
      </c>
      <c r="D20" s="723">
        <f t="shared" si="3"/>
        <v>258991800</v>
      </c>
      <c r="E20" s="349">
        <f t="shared" si="3"/>
        <v>257334300</v>
      </c>
      <c r="F20" s="350">
        <f t="shared" si="3"/>
        <v>11606508.350000001</v>
      </c>
      <c r="G20" s="349">
        <f t="shared" si="3"/>
        <v>228500467.76999998</v>
      </c>
      <c r="H20" s="350">
        <f t="shared" si="3"/>
        <v>236287558.63999999</v>
      </c>
      <c r="I20" s="34">
        <f t="shared" si="1"/>
        <v>-7787090.8700000048</v>
      </c>
      <c r="J20" s="351">
        <f t="shared" si="2"/>
        <v>-3.2955991905880083E-2</v>
      </c>
      <c r="K20" s="707">
        <f>SUM(K21:K27)</f>
        <v>257334300</v>
      </c>
      <c r="L20" s="339"/>
      <c r="M20" s="340"/>
      <c r="N20" s="340"/>
      <c r="O20" s="340"/>
      <c r="P20" s="340"/>
      <c r="Q20" s="340"/>
      <c r="R20" s="340"/>
      <c r="S20" s="340"/>
      <c r="T20" s="340"/>
      <c r="U20" s="340"/>
      <c r="V20" s="340"/>
      <c r="W20" s="340"/>
    </row>
    <row r="21" spans="1:23" ht="11.25" customHeight="1" x14ac:dyDescent="0.25">
      <c r="A21" s="30" t="str">
        <f>'Org structure'!E17</f>
        <v>2,1 - FX001002008 - Disaster Management (Community and Social Services) - AH</v>
      </c>
      <c r="B21" s="197"/>
      <c r="C21" s="708">
        <f>-'C3Q'!B19</f>
        <v>41314.74</v>
      </c>
      <c r="D21" s="703">
        <f>-'C3Q'!C19</f>
        <v>13600</v>
      </c>
      <c r="E21" s="352">
        <f>-'C3Q'!D19</f>
        <v>13800</v>
      </c>
      <c r="F21" s="352">
        <f>-'C3Q'!E19</f>
        <v>1133.3399999999999</v>
      </c>
      <c r="G21" s="352">
        <f>-'C3Q'!F19</f>
        <v>11333.4</v>
      </c>
      <c r="H21" s="352">
        <f>-'C3Q'!G19</f>
        <v>11419.08</v>
      </c>
      <c r="I21" s="34">
        <f t="shared" si="1"/>
        <v>-85.680000000000291</v>
      </c>
      <c r="J21" s="351">
        <f>IF(H21=0,"",I21/H21)</f>
        <v>-7.503231433705718E-3</v>
      </c>
      <c r="K21" s="708">
        <f>-'C3Q'!J19</f>
        <v>13800</v>
      </c>
      <c r="L21" s="339"/>
      <c r="M21" s="340"/>
      <c r="N21" s="340"/>
      <c r="O21" s="340"/>
      <c r="P21" s="340"/>
      <c r="Q21" s="340"/>
      <c r="R21" s="340"/>
      <c r="S21" s="340"/>
      <c r="T21" s="340"/>
      <c r="U21" s="340"/>
      <c r="V21" s="340"/>
      <c r="W21" s="340"/>
    </row>
    <row r="22" spans="1:23" ht="11.25" customHeight="1" x14ac:dyDescent="0.25">
      <c r="A22" s="30" t="str">
        <f>'Org structure'!E18</f>
        <v>2,2 - FX011001005 - Fire Fighting and Protection (Public Safety) - CK</v>
      </c>
      <c r="B22" s="197"/>
      <c r="C22" s="708">
        <f>-'C3Q'!B20</f>
        <v>5349885.04</v>
      </c>
      <c r="D22" s="703">
        <f>-'C3Q'!C20</f>
        <v>1933000</v>
      </c>
      <c r="E22" s="352">
        <f>-'C3Q'!D20</f>
        <v>2394100</v>
      </c>
      <c r="F22" s="352">
        <f>-'C3Q'!E20</f>
        <v>172459.87</v>
      </c>
      <c r="G22" s="352">
        <f>-'C3Q'!F20</f>
        <v>1962653.31</v>
      </c>
      <c r="H22" s="352">
        <f>-'C3Q'!G20</f>
        <v>1845889.79</v>
      </c>
      <c r="I22" s="34">
        <f t="shared" si="1"/>
        <v>116763.52000000002</v>
      </c>
      <c r="J22" s="351">
        <f t="shared" si="2"/>
        <v>6.3255954192151423E-2</v>
      </c>
      <c r="K22" s="708">
        <f>-'C3Q'!J20</f>
        <v>2394100</v>
      </c>
      <c r="L22" s="339"/>
      <c r="M22" s="340"/>
      <c r="N22" s="340"/>
      <c r="O22" s="340"/>
      <c r="P22" s="340"/>
      <c r="Q22" s="340"/>
      <c r="R22" s="340"/>
      <c r="S22" s="340"/>
      <c r="T22" s="340"/>
      <c r="U22" s="340"/>
      <c r="V22" s="340"/>
      <c r="W22" s="340"/>
    </row>
    <row r="23" spans="1:23" ht="11.25" customHeight="1" x14ac:dyDescent="0.25">
      <c r="A23" s="30" t="str">
        <f>'Org structure'!E19</f>
        <v>2,3 - FX012001005 - Taxi Ranks (Road Transport) - CP</v>
      </c>
      <c r="B23" s="197"/>
      <c r="C23" s="708">
        <f>-'C3Q'!B21</f>
        <v>9000877.2100000009</v>
      </c>
      <c r="D23" s="703">
        <f>-'C3Q'!C21</f>
        <v>15051400</v>
      </c>
      <c r="E23" s="352">
        <f>-'C3Q'!D21</f>
        <v>15751400</v>
      </c>
      <c r="F23" s="352">
        <f>-'C3Q'!E21</f>
        <v>649389.42000000004</v>
      </c>
      <c r="G23" s="352">
        <f>-'C3Q'!F21</f>
        <v>13481321.35</v>
      </c>
      <c r="H23" s="352">
        <f>-'C3Q'!G21</f>
        <v>15159614.289999999</v>
      </c>
      <c r="I23" s="34">
        <f t="shared" si="1"/>
        <v>-1678292.9399999995</v>
      </c>
      <c r="J23" s="351">
        <f t="shared" si="2"/>
        <v>-0.1107081557547992</v>
      </c>
      <c r="K23" s="708">
        <f>-'C3Q'!J21</f>
        <v>15751400</v>
      </c>
      <c r="L23" s="339"/>
      <c r="M23" s="340"/>
      <c r="N23" s="340"/>
      <c r="O23" s="340"/>
      <c r="P23" s="340"/>
      <c r="Q23" s="340"/>
      <c r="R23" s="340"/>
      <c r="S23" s="340"/>
      <c r="T23" s="340"/>
      <c r="U23" s="340"/>
      <c r="V23" s="340"/>
      <c r="W23" s="340"/>
    </row>
    <row r="24" spans="1:23" ht="11.25" customHeight="1" x14ac:dyDescent="0.25">
      <c r="A24" s="30" t="str">
        <f>'Org structure'!E20</f>
        <v>2,4 - FX014001003 - Solid Waste Removal (Waste Management) - DC</v>
      </c>
      <c r="B24" s="197"/>
      <c r="C24" s="708">
        <f>-'C3Q'!B22</f>
        <v>222890114.58000001</v>
      </c>
      <c r="D24" s="703">
        <f>-'C3Q'!C22</f>
        <v>240789400</v>
      </c>
      <c r="E24" s="352">
        <f>-'C3Q'!D22</f>
        <v>237370400</v>
      </c>
      <c r="F24" s="352">
        <f>-'C3Q'!E22</f>
        <v>10684009.050000001</v>
      </c>
      <c r="G24" s="352">
        <f>-'C3Q'!F22</f>
        <v>212049993.00999999</v>
      </c>
      <c r="H24" s="352">
        <f>-'C3Q'!G22</f>
        <v>217675383.06999999</v>
      </c>
      <c r="I24" s="34">
        <f t="shared" si="1"/>
        <v>-5625390.0600000024</v>
      </c>
      <c r="J24" s="351">
        <f t="shared" si="2"/>
        <v>-2.5843023591652487E-2</v>
      </c>
      <c r="K24" s="708">
        <f>-'C3Q'!J22</f>
        <v>237370400</v>
      </c>
      <c r="L24" s="339"/>
      <c r="M24" s="340"/>
      <c r="N24" s="340"/>
      <c r="O24" s="340"/>
      <c r="P24" s="340"/>
      <c r="Q24" s="340"/>
      <c r="R24" s="340"/>
      <c r="S24" s="340"/>
      <c r="T24" s="340"/>
      <c r="U24" s="340"/>
      <c r="V24" s="340"/>
      <c r="W24" s="340"/>
    </row>
    <row r="25" spans="1:23" ht="11.25" customHeight="1" x14ac:dyDescent="0.25">
      <c r="A25" s="30" t="str">
        <f>'Org structure'!E21</f>
        <v>2,5 - FX014001004 - Street Cleansing (Waste Management) - DE</v>
      </c>
      <c r="B25" s="197"/>
      <c r="C25" s="708">
        <f>-'C3Q'!B23</f>
        <v>1953707.57</v>
      </c>
      <c r="D25" s="703">
        <f>-'C3Q'!C23</f>
        <v>1177100</v>
      </c>
      <c r="E25" s="352">
        <f>-'C3Q'!D23</f>
        <v>1777200</v>
      </c>
      <c r="F25" s="352">
        <f>-'C3Q'!E23</f>
        <v>97241.67</v>
      </c>
      <c r="G25" s="352">
        <f>-'C3Q'!F23</f>
        <v>972416.7</v>
      </c>
      <c r="H25" s="352">
        <f>-'C3Q'!G23</f>
        <v>1572459.54</v>
      </c>
      <c r="I25" s="34">
        <f t="shared" si="1"/>
        <v>-600042.84000000008</v>
      </c>
      <c r="J25" s="351">
        <f t="shared" si="2"/>
        <v>-0.38159509019863241</v>
      </c>
      <c r="K25" s="708">
        <f>-'C3Q'!J23</f>
        <v>1777200</v>
      </c>
      <c r="L25" s="339"/>
      <c r="M25" s="340"/>
      <c r="N25" s="340"/>
      <c r="O25" s="340"/>
      <c r="P25" s="340"/>
      <c r="Q25" s="340"/>
      <c r="R25" s="340"/>
      <c r="S25" s="340"/>
      <c r="T25" s="340"/>
      <c r="U25" s="340"/>
      <c r="V25" s="340"/>
      <c r="W25" s="340"/>
    </row>
    <row r="26" spans="1:23" ht="11.25" customHeight="1" x14ac:dyDescent="0.25">
      <c r="A26" s="30" t="str">
        <f>'Org structure'!E22</f>
        <v>2,6 - FX015001001 - Public Toilets (Waste Water Management) - DF</v>
      </c>
      <c r="B26" s="197"/>
      <c r="C26" s="708">
        <f>-'C3Q'!B24</f>
        <v>55729.49</v>
      </c>
      <c r="D26" s="703">
        <f>-'C3Q'!C24</f>
        <v>27300</v>
      </c>
      <c r="E26" s="352">
        <f>-'C3Q'!D24</f>
        <v>27400</v>
      </c>
      <c r="F26" s="352">
        <f>-'C3Q'!E24</f>
        <v>2275</v>
      </c>
      <c r="G26" s="352">
        <f>-'C3Q'!F24</f>
        <v>22750</v>
      </c>
      <c r="H26" s="352">
        <f>-'C3Q'!G24</f>
        <v>22792.87</v>
      </c>
      <c r="I26" s="34">
        <f t="shared" si="1"/>
        <v>-42.869999999998981</v>
      </c>
      <c r="J26" s="351">
        <f>IF(H26=0,"",I26/H26)</f>
        <v>-1.880851336404717E-3</v>
      </c>
      <c r="K26" s="708">
        <f>-'C3Q'!J24</f>
        <v>27400</v>
      </c>
      <c r="L26" s="339"/>
      <c r="M26" s="340"/>
      <c r="N26" s="340"/>
      <c r="O26" s="340"/>
      <c r="P26" s="340"/>
      <c r="Q26" s="340"/>
      <c r="R26" s="340"/>
      <c r="S26" s="340"/>
      <c r="T26" s="340"/>
      <c r="U26" s="340"/>
      <c r="V26" s="340"/>
      <c r="W26" s="340"/>
    </row>
    <row r="27" spans="1:23" ht="11.25" customHeight="1" x14ac:dyDescent="0.25">
      <c r="A27" s="30" t="str">
        <f>'Org structure'!E23</f>
        <v>2,7 - FX006001001 - Public Health and Emergency Services (Environmental Protection) - DY</v>
      </c>
      <c r="B27" s="197"/>
      <c r="C27" s="708">
        <f>-'C3Q'!B25</f>
        <v>349166.03</v>
      </c>
      <c r="D27" s="703">
        <f>-'C3Q'!C25</f>
        <v>0</v>
      </c>
      <c r="E27" s="352">
        <f>-'C3Q'!D25</f>
        <v>0</v>
      </c>
      <c r="F27" s="352">
        <f>-'C3Q'!E25</f>
        <v>0</v>
      </c>
      <c r="G27" s="352">
        <f>-'C3Q'!F25</f>
        <v>0</v>
      </c>
      <c r="H27" s="352">
        <f>-'C3Q'!G25</f>
        <v>0</v>
      </c>
      <c r="I27" s="34">
        <f t="shared" si="1"/>
        <v>0</v>
      </c>
      <c r="J27" s="351" t="str">
        <f>IF(H27=0,"",I27/H27)</f>
        <v/>
      </c>
      <c r="K27" s="708">
        <f>-'C3Q'!J25</f>
        <v>0</v>
      </c>
      <c r="L27" s="339"/>
      <c r="M27" s="340"/>
      <c r="N27" s="340"/>
      <c r="O27" s="340"/>
      <c r="P27" s="340"/>
      <c r="Q27" s="340"/>
      <c r="R27" s="340"/>
      <c r="S27" s="340"/>
      <c r="T27" s="340"/>
      <c r="U27" s="340"/>
      <c r="V27" s="340"/>
      <c r="W27" s="340"/>
    </row>
    <row r="28" spans="1:23" ht="11.25" customHeight="1" x14ac:dyDescent="0.25">
      <c r="A28" s="66" t="str">
        <f>'Org structure'!A4</f>
        <v>Vote 3 - COMMUNITY SERVICES - PROTECTION SERVICES</v>
      </c>
      <c r="B28" s="132"/>
      <c r="C28" s="707">
        <f t="shared" ref="C28:H28" si="4">SUM(C29:C32)</f>
        <v>23483218.689999998</v>
      </c>
      <c r="D28" s="723">
        <f t="shared" si="4"/>
        <v>22240100</v>
      </c>
      <c r="E28" s="349">
        <f t="shared" si="4"/>
        <v>18465700</v>
      </c>
      <c r="F28" s="350">
        <f t="shared" si="4"/>
        <v>2348593.64</v>
      </c>
      <c r="G28" s="349">
        <f t="shared" si="4"/>
        <v>15960736.309999999</v>
      </c>
      <c r="H28" s="350">
        <f t="shared" si="4"/>
        <v>15238895.42</v>
      </c>
      <c r="I28" s="34">
        <f t="shared" si="1"/>
        <v>721840.88999999873</v>
      </c>
      <c r="J28" s="351">
        <f t="shared" si="2"/>
        <v>4.7368321003937876E-2</v>
      </c>
      <c r="K28" s="707">
        <f>SUM(K29:K32)</f>
        <v>18465700</v>
      </c>
      <c r="L28" s="339"/>
      <c r="M28" s="340"/>
      <c r="N28" s="340"/>
      <c r="O28" s="340"/>
      <c r="P28" s="340"/>
      <c r="Q28" s="340"/>
      <c r="R28" s="340"/>
      <c r="S28" s="340"/>
      <c r="T28" s="340"/>
      <c r="U28" s="340"/>
      <c r="V28" s="340"/>
      <c r="W28" s="340"/>
    </row>
    <row r="29" spans="1:23" ht="11.25" customHeight="1" x14ac:dyDescent="0.25">
      <c r="A29" s="30" t="str">
        <f>'Org structure'!E28</f>
        <v>3,1 - FX005001012 - Security Services (Finance and Administration) - BP</v>
      </c>
      <c r="B29" s="197"/>
      <c r="C29" s="708">
        <f>-'C3Q'!B27</f>
        <v>852769.74</v>
      </c>
      <c r="D29" s="703">
        <f>-'C3Q'!C27</f>
        <v>427600</v>
      </c>
      <c r="E29" s="352">
        <f>-'C3Q'!D27</f>
        <v>427600</v>
      </c>
      <c r="F29" s="352">
        <f>-'C3Q'!E27</f>
        <v>35633.33</v>
      </c>
      <c r="G29" s="352">
        <f>-'C3Q'!F27</f>
        <v>356333.3</v>
      </c>
      <c r="H29" s="352">
        <f>-'C3Q'!G27</f>
        <v>356333.33</v>
      </c>
      <c r="I29" s="34">
        <f t="shared" si="1"/>
        <v>-3.0000000027939677E-2</v>
      </c>
      <c r="J29" s="351">
        <f>IF(H29=0,"",I29/H29)</f>
        <v>-8.4190833419763673E-8</v>
      </c>
      <c r="K29" s="708">
        <f>-'C3Q'!J27</f>
        <v>427600</v>
      </c>
      <c r="L29" s="339"/>
      <c r="M29" s="340"/>
      <c r="N29" s="340"/>
      <c r="O29" s="340"/>
      <c r="P29" s="340"/>
      <c r="Q29" s="340"/>
      <c r="R29" s="340"/>
      <c r="S29" s="340"/>
      <c r="T29" s="340"/>
      <c r="U29" s="340"/>
      <c r="V29" s="340"/>
      <c r="W29" s="340"/>
    </row>
    <row r="30" spans="1:23" ht="11.25" customHeight="1" x14ac:dyDescent="0.25">
      <c r="A30" s="30" t="str">
        <f>'Org structure'!E29</f>
        <v>3,2 - FX011001007 - Police Forces, Traffic and Street Parking Control (Road Transport) - CQ</v>
      </c>
      <c r="B30" s="197"/>
      <c r="C30" s="708">
        <f>-'C3Q'!B28</f>
        <v>9420514.2599999998</v>
      </c>
      <c r="D30" s="703">
        <f>-'C3Q'!C28</f>
        <v>9429000</v>
      </c>
      <c r="E30" s="352">
        <f>-'C3Q'!D28</f>
        <v>5654500</v>
      </c>
      <c r="F30" s="352">
        <f>-'C3Q'!E28</f>
        <v>399719.63</v>
      </c>
      <c r="G30" s="352">
        <f>-'C3Q'!F28</f>
        <v>3710998.42</v>
      </c>
      <c r="H30" s="352">
        <f>-'C3Q'!G28</f>
        <v>3939284.49</v>
      </c>
      <c r="I30" s="34">
        <f t="shared" si="1"/>
        <v>-228286.0700000003</v>
      </c>
      <c r="J30" s="351">
        <f t="shared" si="2"/>
        <v>-5.7951150920811073E-2</v>
      </c>
      <c r="K30" s="708">
        <f>-'C3Q'!J28</f>
        <v>5654500</v>
      </c>
      <c r="L30" s="339"/>
      <c r="M30" s="340"/>
      <c r="N30" s="340"/>
      <c r="O30" s="340"/>
      <c r="P30" s="340"/>
      <c r="Q30" s="340"/>
      <c r="R30" s="340"/>
      <c r="S30" s="340"/>
      <c r="T30" s="340"/>
      <c r="U30" s="340"/>
      <c r="V30" s="340"/>
      <c r="W30" s="340"/>
    </row>
    <row r="31" spans="1:23" ht="11.25" customHeight="1" x14ac:dyDescent="0.25">
      <c r="A31" s="30" t="str">
        <f>'Org structure'!E30</f>
        <v>3,3 - FX012002001 - Road and Traffic Regulation (Road Transport) - CR</v>
      </c>
      <c r="B31" s="197"/>
      <c r="C31" s="708">
        <f>-'C3Q'!B29</f>
        <v>13209934.689999999</v>
      </c>
      <c r="D31" s="703">
        <f>-'C3Q'!C29</f>
        <v>12383500</v>
      </c>
      <c r="E31" s="352">
        <f>-'C3Q'!D29</f>
        <v>12383600</v>
      </c>
      <c r="F31" s="352">
        <f>-'C3Q'!E29</f>
        <v>1913240.68</v>
      </c>
      <c r="G31" s="352">
        <f>-'C3Q'!F29</f>
        <v>11893404.59</v>
      </c>
      <c r="H31" s="352">
        <f>-'C3Q'!G29</f>
        <v>10943277.6</v>
      </c>
      <c r="I31" s="34">
        <f t="shared" si="1"/>
        <v>950126.99000000022</v>
      </c>
      <c r="J31" s="351">
        <f t="shared" si="2"/>
        <v>8.6822890246337187E-2</v>
      </c>
      <c r="K31" s="708">
        <f>-'C3Q'!J29</f>
        <v>12383600</v>
      </c>
      <c r="L31" s="339"/>
      <c r="M31" s="340"/>
      <c r="N31" s="340"/>
      <c r="O31" s="340"/>
      <c r="P31" s="340"/>
      <c r="Q31" s="340"/>
      <c r="R31" s="340"/>
      <c r="S31" s="340"/>
      <c r="T31" s="340"/>
      <c r="U31" s="340"/>
      <c r="V31" s="340"/>
      <c r="W31" s="340"/>
    </row>
    <row r="32" spans="1:23" ht="11.25" customHeight="1" x14ac:dyDescent="0.25">
      <c r="A32" s="30" t="str">
        <f>'Org structure'!E31</f>
        <v>3,4 - FX011001006 - Public Safety Licensing and Control of Animals - CU</v>
      </c>
      <c r="B32" s="197"/>
      <c r="C32" s="708">
        <f>-'C3Q'!B30</f>
        <v>0</v>
      </c>
      <c r="D32" s="703">
        <f>-'C3Q'!C30</f>
        <v>0</v>
      </c>
      <c r="E32" s="352">
        <f>-'C3Q'!D30</f>
        <v>0</v>
      </c>
      <c r="F32" s="352">
        <f>-'C3Q'!E30</f>
        <v>0</v>
      </c>
      <c r="G32" s="352">
        <f>-'C3Q'!F30</f>
        <v>0</v>
      </c>
      <c r="H32" s="352">
        <f>-'C3Q'!G30</f>
        <v>0</v>
      </c>
      <c r="I32" s="34">
        <f t="shared" si="1"/>
        <v>0</v>
      </c>
      <c r="J32" s="351" t="str">
        <f t="shared" si="2"/>
        <v/>
      </c>
      <c r="K32" s="708">
        <f>-'C3Q'!J30</f>
        <v>0</v>
      </c>
      <c r="L32" s="339"/>
      <c r="M32" s="340"/>
      <c r="N32" s="340"/>
      <c r="O32" s="340"/>
      <c r="P32" s="340"/>
      <c r="Q32" s="340"/>
      <c r="R32" s="340"/>
      <c r="S32" s="340"/>
      <c r="T32" s="340"/>
      <c r="U32" s="340"/>
      <c r="V32" s="340"/>
      <c r="W32" s="340"/>
    </row>
    <row r="33" spans="1:23" ht="11.25" customHeight="1" x14ac:dyDescent="0.25">
      <c r="A33" s="66" t="str">
        <f>'Org structure'!A5</f>
        <v>Vote 4 - COMMUNITY SERVICES - RECREATIONAL AND ENVIRONMENTAL SERVICES</v>
      </c>
      <c r="B33" s="132"/>
      <c r="C33" s="707">
        <f>SUM(C34:C46)</f>
        <v>43101543.920000002</v>
      </c>
      <c r="D33" s="350">
        <f t="shared" ref="D33:H33" si="5">SUM(D34:D46)</f>
        <v>29644200</v>
      </c>
      <c r="E33" s="348">
        <f t="shared" si="5"/>
        <v>41395700</v>
      </c>
      <c r="F33" s="348">
        <f t="shared" si="5"/>
        <v>14916203.85</v>
      </c>
      <c r="G33" s="348">
        <f t="shared" si="5"/>
        <v>58016183.059999995</v>
      </c>
      <c r="H33" s="348">
        <f t="shared" si="5"/>
        <v>43335672.159999996</v>
      </c>
      <c r="I33" s="34">
        <f t="shared" si="1"/>
        <v>14680510.899999999</v>
      </c>
      <c r="J33" s="351">
        <f t="shared" si="2"/>
        <v>0.33876273675409863</v>
      </c>
      <c r="K33" s="707">
        <f t="shared" ref="K33" si="6">SUM(K34:K46)</f>
        <v>41395700</v>
      </c>
      <c r="L33" s="339"/>
      <c r="M33" s="340"/>
      <c r="N33" s="340"/>
      <c r="O33" s="340"/>
      <c r="P33" s="340"/>
      <c r="Q33" s="340"/>
      <c r="R33" s="340"/>
      <c r="S33" s="340"/>
      <c r="T33" s="340"/>
      <c r="U33" s="340"/>
      <c r="V33" s="340"/>
      <c r="W33" s="340"/>
    </row>
    <row r="34" spans="1:23" ht="11.25" customHeight="1" x14ac:dyDescent="0.25">
      <c r="A34" s="30" t="str">
        <f>'Org structure'!E39</f>
        <v>4,1 - FX001001003 - Cemeteries, Funeral Parlours and Crematoriums (Community and Social Services) - AA</v>
      </c>
      <c r="B34" s="197"/>
      <c r="C34" s="708">
        <f>-'C3Q'!B32</f>
        <v>761756.9</v>
      </c>
      <c r="D34" s="703">
        <f>-'C3Q'!C32</f>
        <v>1001800</v>
      </c>
      <c r="E34" s="352">
        <f>-'C3Q'!D32</f>
        <v>851900</v>
      </c>
      <c r="F34" s="352">
        <f>-'C3Q'!E32</f>
        <v>46616.61</v>
      </c>
      <c r="G34" s="352">
        <f>-'C3Q'!F32</f>
        <v>541297.96</v>
      </c>
      <c r="H34" s="352">
        <f>-'C3Q'!G32</f>
        <v>574185.29</v>
      </c>
      <c r="I34" s="34">
        <f t="shared" si="1"/>
        <v>-32887.330000000075</v>
      </c>
      <c r="J34" s="351">
        <f t="shared" si="2"/>
        <v>-5.7276510862895973E-2</v>
      </c>
      <c r="K34" s="708">
        <f>-'C3Q'!J32</f>
        <v>851900</v>
      </c>
      <c r="L34" s="339"/>
      <c r="M34" s="340"/>
      <c r="N34" s="340"/>
      <c r="O34" s="340"/>
      <c r="P34" s="340"/>
      <c r="Q34" s="340"/>
      <c r="R34" s="340"/>
      <c r="S34" s="340"/>
      <c r="T34" s="340"/>
      <c r="U34" s="340"/>
      <c r="V34" s="340"/>
      <c r="W34" s="340"/>
    </row>
    <row r="35" spans="1:23" ht="11.25" customHeight="1" x14ac:dyDescent="0.25">
      <c r="A35" s="30" t="str">
        <f>'Org structure'!E40</f>
        <v>4,2 - FX001001005002 - Halls (Community and Social Services) - AC</v>
      </c>
      <c r="B35" s="197"/>
      <c r="C35" s="708">
        <f>-'C3Q'!B33</f>
        <v>1463836.82</v>
      </c>
      <c r="D35" s="703">
        <f>-'C3Q'!C33</f>
        <v>1172300</v>
      </c>
      <c r="E35" s="352">
        <f>-'C3Q'!D33</f>
        <v>1172300</v>
      </c>
      <c r="F35" s="352">
        <f>-'C3Q'!E33</f>
        <v>109314.76</v>
      </c>
      <c r="G35" s="352">
        <f>-'C3Q'!F33</f>
        <v>1056908.3500000001</v>
      </c>
      <c r="H35" s="352">
        <f>-'C3Q'!G33</f>
        <v>997147.75</v>
      </c>
      <c r="I35" s="34">
        <f t="shared" si="1"/>
        <v>59760.600000000093</v>
      </c>
      <c r="J35" s="351">
        <f t="shared" si="2"/>
        <v>5.9931539734206986E-2</v>
      </c>
      <c r="K35" s="708">
        <f>-'C3Q'!J33</f>
        <v>1172300</v>
      </c>
      <c r="L35" s="339"/>
      <c r="M35" s="340"/>
      <c r="N35" s="340"/>
      <c r="O35" s="340"/>
      <c r="P35" s="340"/>
      <c r="Q35" s="340"/>
      <c r="R35" s="340"/>
      <c r="S35" s="340"/>
      <c r="T35" s="340"/>
      <c r="U35" s="340"/>
      <c r="V35" s="340"/>
      <c r="W35" s="340"/>
    </row>
    <row r="36" spans="1:23" ht="11.25" customHeight="1" x14ac:dyDescent="0.25">
      <c r="A36" s="30" t="str">
        <f>'Org structure'!E41</f>
        <v>4,3 - FX001001006001 - Libraries and Archives (Community and Social Services) - AE</v>
      </c>
      <c r="B36" s="197"/>
      <c r="C36" s="708">
        <f>-'C3Q'!B34</f>
        <v>11532941.470000001</v>
      </c>
      <c r="D36" s="703">
        <f>-'C3Q'!C34</f>
        <v>11740700</v>
      </c>
      <c r="E36" s="352">
        <f>-'C3Q'!D34</f>
        <v>11841600</v>
      </c>
      <c r="F36" s="352">
        <f>-'C3Q'!E34</f>
        <v>230803.25</v>
      </c>
      <c r="G36" s="352">
        <f>-'C3Q'!F34</f>
        <v>11434124.619999999</v>
      </c>
      <c r="H36" s="352">
        <f>-'C3Q'!G34</f>
        <v>11203741.43</v>
      </c>
      <c r="I36" s="34">
        <f t="shared" si="1"/>
        <v>230383.18999999948</v>
      </c>
      <c r="J36" s="351">
        <f t="shared" si="2"/>
        <v>2.0563058460373578E-2</v>
      </c>
      <c r="K36" s="708">
        <f>-'C3Q'!J34</f>
        <v>11841600</v>
      </c>
      <c r="L36" s="339"/>
      <c r="M36" s="340"/>
      <c r="N36" s="340"/>
      <c r="O36" s="340"/>
      <c r="P36" s="340"/>
      <c r="Q36" s="340"/>
      <c r="R36" s="340"/>
      <c r="S36" s="340"/>
      <c r="T36" s="340"/>
      <c r="U36" s="340"/>
      <c r="V36" s="340"/>
      <c r="W36" s="340"/>
    </row>
    <row r="37" spans="1:23" ht="11.25" customHeight="1" x14ac:dyDescent="0.25">
      <c r="A37" s="30" t="str">
        <f>'Org structure'!E42</f>
        <v>4,4 - FX001001006002 - Cyber Cadets (Community and Social Services) - AF</v>
      </c>
      <c r="B37" s="197"/>
      <c r="C37" s="708">
        <f>-'C3Q'!B35</f>
        <v>2117603.2200000002</v>
      </c>
      <c r="D37" s="703">
        <f>-'C3Q'!C35</f>
        <v>2124300</v>
      </c>
      <c r="E37" s="352">
        <f>-'C3Q'!D35</f>
        <v>2124300</v>
      </c>
      <c r="F37" s="352">
        <f>-'C3Q'!E35</f>
        <v>157930.34</v>
      </c>
      <c r="G37" s="352">
        <f>-'C3Q'!F35</f>
        <v>1656407.81</v>
      </c>
      <c r="H37" s="352">
        <f>-'C3Q'!G35</f>
        <v>1178336.3</v>
      </c>
      <c r="I37" s="34">
        <f t="shared" si="1"/>
        <v>478071.51</v>
      </c>
      <c r="J37" s="351">
        <f t="shared" si="2"/>
        <v>0.4057173745729466</v>
      </c>
      <c r="K37" s="708">
        <f>-'C3Q'!J35</f>
        <v>2124300</v>
      </c>
      <c r="L37" s="339"/>
      <c r="M37" s="340"/>
      <c r="N37" s="340"/>
      <c r="O37" s="340"/>
      <c r="P37" s="340"/>
      <c r="Q37" s="340"/>
      <c r="R37" s="340"/>
      <c r="S37" s="340"/>
      <c r="T37" s="340"/>
      <c r="U37" s="340"/>
      <c r="V37" s="340"/>
      <c r="W37" s="340"/>
    </row>
    <row r="38" spans="1:23" ht="11.25" customHeight="1" x14ac:dyDescent="0.25">
      <c r="A38" s="30" t="str">
        <f>'Org structure'!E43</f>
        <v>4,5 - FX001001008 - Museums and Art Galleries (Community and Social Services) - AG</v>
      </c>
      <c r="B38" s="197"/>
      <c r="C38" s="708">
        <f>-'C3Q'!B36</f>
        <v>351028.91</v>
      </c>
      <c r="D38" s="703">
        <f>-'C3Q'!C36</f>
        <v>317900</v>
      </c>
      <c r="E38" s="352">
        <f>-'C3Q'!D36</f>
        <v>318000</v>
      </c>
      <c r="F38" s="352">
        <f>-'C3Q'!E36</f>
        <v>3700</v>
      </c>
      <c r="G38" s="352">
        <f>-'C3Q'!F36</f>
        <v>38053.78</v>
      </c>
      <c r="H38" s="352">
        <f>-'C3Q'!G36</f>
        <v>38801</v>
      </c>
      <c r="I38" s="34">
        <f t="shared" si="1"/>
        <v>-747.22000000000116</v>
      </c>
      <c r="J38" s="351">
        <f t="shared" si="2"/>
        <v>-1.9257751088889493E-2</v>
      </c>
      <c r="K38" s="708">
        <f>-'C3Q'!J36</f>
        <v>318000</v>
      </c>
      <c r="L38" s="339"/>
      <c r="M38" s="340"/>
      <c r="N38" s="340"/>
      <c r="O38" s="340"/>
      <c r="P38" s="340"/>
      <c r="Q38" s="340"/>
      <c r="R38" s="340"/>
      <c r="S38" s="340"/>
      <c r="T38" s="340"/>
      <c r="U38" s="340"/>
      <c r="V38" s="340"/>
      <c r="W38" s="340"/>
    </row>
    <row r="39" spans="1:23" ht="11.25" customHeight="1" x14ac:dyDescent="0.25">
      <c r="A39" s="30" t="str">
        <f>'Org structure'!E44</f>
        <v>4,6 - FX001002007 - Cultural Matters (Community and Social Services) - CV</v>
      </c>
      <c r="B39" s="197"/>
      <c r="C39" s="708">
        <f>-'C3Q'!B37</f>
        <v>22057.37</v>
      </c>
      <c r="D39" s="703">
        <f>-'C3Q'!C37</f>
        <v>10200</v>
      </c>
      <c r="E39" s="352">
        <f>-'C3Q'!D37</f>
        <v>10200</v>
      </c>
      <c r="F39" s="352">
        <f>-'C3Q'!E37</f>
        <v>850</v>
      </c>
      <c r="G39" s="352">
        <f>-'C3Q'!F37</f>
        <v>8500</v>
      </c>
      <c r="H39" s="352">
        <f>-'C3Q'!G37</f>
        <v>8500</v>
      </c>
      <c r="I39" s="34">
        <f t="shared" si="1"/>
        <v>0</v>
      </c>
      <c r="J39" s="351">
        <f>IF(H39=0,"",I39/H39)</f>
        <v>0</v>
      </c>
      <c r="K39" s="708">
        <f>-'C3Q'!J37</f>
        <v>10200</v>
      </c>
      <c r="L39" s="339"/>
      <c r="M39" s="340"/>
      <c r="N39" s="340"/>
      <c r="O39" s="340"/>
      <c r="P39" s="340"/>
      <c r="Q39" s="340"/>
      <c r="R39" s="340"/>
      <c r="S39" s="340"/>
      <c r="T39" s="340"/>
      <c r="U39" s="340"/>
      <c r="V39" s="340"/>
      <c r="W39" s="340"/>
    </row>
    <row r="40" spans="1:23" ht="11.25" customHeight="1" x14ac:dyDescent="0.25">
      <c r="A40" s="30" t="str">
        <f>'Org structure'!E45</f>
        <v>4,7 - FX013001001 - Beaches and Jetties (Community and Social Services) - CS</v>
      </c>
      <c r="B40" s="197"/>
      <c r="C40" s="708">
        <f>-'C3Q'!B38</f>
        <v>380735.94</v>
      </c>
      <c r="D40" s="703">
        <f>-'C3Q'!C38</f>
        <v>321200</v>
      </c>
      <c r="E40" s="352">
        <f>-'C3Q'!D38</f>
        <v>321200</v>
      </c>
      <c r="F40" s="352">
        <f>-'C3Q'!E38</f>
        <v>20475</v>
      </c>
      <c r="G40" s="352">
        <f>-'C3Q'!F38</f>
        <v>204750</v>
      </c>
      <c r="H40" s="352">
        <f>-'C3Q'!G38</f>
        <v>204750</v>
      </c>
      <c r="I40" s="34">
        <f t="shared" si="1"/>
        <v>0</v>
      </c>
      <c r="J40" s="351">
        <f t="shared" ref="J40:J103" si="7">IF(H40=0,"",I40/H40)</f>
        <v>0</v>
      </c>
      <c r="K40" s="708">
        <f>-'C3Q'!J38</f>
        <v>321200</v>
      </c>
      <c r="L40" s="339"/>
      <c r="M40" s="340"/>
      <c r="N40" s="340"/>
      <c r="O40" s="340"/>
      <c r="P40" s="340"/>
      <c r="Q40" s="340"/>
      <c r="R40" s="340"/>
      <c r="S40" s="340"/>
      <c r="T40" s="340"/>
      <c r="U40" s="340"/>
      <c r="V40" s="340"/>
      <c r="W40" s="340"/>
    </row>
    <row r="41" spans="1:23" ht="11.25" customHeight="1" x14ac:dyDescent="0.25">
      <c r="A41" s="30" t="str">
        <f>'Org structure'!E46</f>
        <v>4,8 - FX013001002 - Community Parks (including Nurseries) (Sport and Recreation) - CT</v>
      </c>
      <c r="B41" s="197"/>
      <c r="C41" s="708">
        <f>-'C3Q'!B39</f>
        <v>13644179.029999999</v>
      </c>
      <c r="D41" s="703">
        <f>-'C3Q'!C39</f>
        <v>9540300</v>
      </c>
      <c r="E41" s="352">
        <f>-'C3Q'!D39</f>
        <v>9540400</v>
      </c>
      <c r="F41" s="352">
        <f>-'C3Q'!E39</f>
        <v>875939.86</v>
      </c>
      <c r="G41" s="352">
        <f>-'C3Q'!F39</f>
        <v>6763103.8200000003</v>
      </c>
      <c r="H41" s="352">
        <f>-'C3Q'!G39</f>
        <v>6356883.71</v>
      </c>
      <c r="I41" s="34">
        <f t="shared" si="1"/>
        <v>406220.11000000034</v>
      </c>
      <c r="J41" s="351">
        <f t="shared" si="7"/>
        <v>6.3902397547555626E-2</v>
      </c>
      <c r="K41" s="708">
        <f>-'C3Q'!J39</f>
        <v>9540400</v>
      </c>
      <c r="L41" s="339"/>
      <c r="M41" s="340"/>
      <c r="N41" s="340"/>
      <c r="O41" s="340"/>
      <c r="P41" s="340"/>
      <c r="Q41" s="340"/>
      <c r="R41" s="340"/>
      <c r="S41" s="340"/>
      <c r="T41" s="340"/>
      <c r="U41" s="340"/>
      <c r="V41" s="340"/>
      <c r="W41" s="340"/>
    </row>
    <row r="42" spans="1:23" ht="11.25" customHeight="1" x14ac:dyDescent="0.25">
      <c r="A42" s="30" t="str">
        <f>'Org structure'!E47</f>
        <v>4,9 - FX013002003001 - Recreational Facilities - Caravan Park (Sport and Recreation) - CW</v>
      </c>
      <c r="B42" s="197"/>
      <c r="C42" s="708">
        <f>-'C3Q'!B40</f>
        <v>0</v>
      </c>
      <c r="D42" s="703">
        <f>-'C3Q'!C40</f>
        <v>250000</v>
      </c>
      <c r="E42" s="352">
        <f>-'C3Q'!D40</f>
        <v>250000</v>
      </c>
      <c r="F42" s="352">
        <f>-'C3Q'!E40</f>
        <v>0</v>
      </c>
      <c r="G42" s="352">
        <f>-'C3Q'!F40</f>
        <v>0</v>
      </c>
      <c r="H42" s="352">
        <f>-'C3Q'!G40</f>
        <v>60000</v>
      </c>
      <c r="I42" s="34">
        <f t="shared" si="1"/>
        <v>-60000</v>
      </c>
      <c r="J42" s="351">
        <f t="shared" si="7"/>
        <v>-1</v>
      </c>
      <c r="K42" s="708">
        <f>-'C3Q'!J40</f>
        <v>250000</v>
      </c>
      <c r="L42" s="339"/>
      <c r="M42" s="340"/>
      <c r="N42" s="340"/>
      <c r="O42" s="340"/>
      <c r="P42" s="340"/>
      <c r="Q42" s="340"/>
      <c r="R42" s="340"/>
      <c r="S42" s="340"/>
      <c r="T42" s="340"/>
      <c r="U42" s="340"/>
      <c r="V42" s="340"/>
      <c r="W42" s="340"/>
    </row>
    <row r="43" spans="1:23" ht="11.25" customHeight="1" x14ac:dyDescent="0.25">
      <c r="A43" s="30" t="str">
        <f>'Org structure'!E48</f>
        <v>4.10 - FX013002003002 - Recreational Facilities - Parks Administration (Sport and Recreation) - CX</v>
      </c>
      <c r="B43" s="197"/>
      <c r="C43" s="708">
        <f>-'C3Q'!B41</f>
        <v>224703.22</v>
      </c>
      <c r="D43" s="703">
        <f>-'C3Q'!C41</f>
        <v>95500</v>
      </c>
      <c r="E43" s="352">
        <f>-'C3Q'!D41</f>
        <v>95700</v>
      </c>
      <c r="F43" s="352">
        <f>-'C3Q'!E41</f>
        <v>7958.34</v>
      </c>
      <c r="G43" s="352">
        <f>-'C3Q'!F41</f>
        <v>79583.399999999994</v>
      </c>
      <c r="H43" s="352">
        <f>-'C3Q'!G41</f>
        <v>79669.08</v>
      </c>
      <c r="I43" s="34">
        <f t="shared" si="1"/>
        <v>-85.680000000007567</v>
      </c>
      <c r="J43" s="351">
        <f t="shared" si="7"/>
        <v>-1.0754485931054754E-3</v>
      </c>
      <c r="K43" s="708">
        <f>-'C3Q'!J41</f>
        <v>95700</v>
      </c>
      <c r="L43" s="339"/>
      <c r="M43" s="340"/>
      <c r="N43" s="340"/>
      <c r="O43" s="340"/>
      <c r="P43" s="340"/>
      <c r="Q43" s="340"/>
      <c r="R43" s="340"/>
      <c r="S43" s="340"/>
      <c r="T43" s="340"/>
      <c r="U43" s="340"/>
      <c r="V43" s="340"/>
      <c r="W43" s="340"/>
    </row>
    <row r="44" spans="1:23" ht="11.25" customHeight="1" x14ac:dyDescent="0.25">
      <c r="A44" s="30" t="str">
        <f>'Org structure'!E49</f>
        <v>4.11 - FX013002003003 - Recreational Facilities - Swimming Pools (Sport and Recreation) - CY</v>
      </c>
      <c r="B44" s="197"/>
      <c r="C44" s="708">
        <f>-'C3Q'!B42</f>
        <v>10494648.93</v>
      </c>
      <c r="D44" s="703">
        <f>-'C3Q'!C42</f>
        <v>1139100</v>
      </c>
      <c r="E44" s="352">
        <f>-'C3Q'!D42</f>
        <v>1139200</v>
      </c>
      <c r="F44" s="352">
        <f>-'C3Q'!E42</f>
        <v>62393.62</v>
      </c>
      <c r="G44" s="352">
        <f>-'C3Q'!F42</f>
        <v>2042630.24</v>
      </c>
      <c r="H44" s="352">
        <f>-'C3Q'!G42</f>
        <v>1826716.57</v>
      </c>
      <c r="I44" s="34">
        <f t="shared" si="1"/>
        <v>215913.66999999993</v>
      </c>
      <c r="J44" s="351">
        <f t="shared" si="7"/>
        <v>0.1181976851504664</v>
      </c>
      <c r="K44" s="708">
        <f>-'C3Q'!J42</f>
        <v>1139200</v>
      </c>
      <c r="L44" s="339"/>
      <c r="M44" s="340"/>
      <c r="N44" s="340"/>
      <c r="O44" s="340"/>
      <c r="P44" s="340"/>
      <c r="Q44" s="340"/>
      <c r="R44" s="340"/>
      <c r="S44" s="340"/>
      <c r="T44" s="340"/>
      <c r="U44" s="340"/>
      <c r="V44" s="340"/>
      <c r="W44" s="340"/>
    </row>
    <row r="45" spans="1:23" ht="11.25" customHeight="1" x14ac:dyDescent="0.25">
      <c r="A45" s="30" t="str">
        <f>'Org structure'!E50</f>
        <v>4.12 - FX013002004001 - Sport Development and Sportfields (Sport and Recreation) - CZ</v>
      </c>
      <c r="B45" s="197"/>
      <c r="C45" s="708">
        <f>-'C3Q'!B43</f>
        <v>2108052.11</v>
      </c>
      <c r="D45" s="703">
        <f>-'C3Q'!C43</f>
        <v>1930900</v>
      </c>
      <c r="E45" s="352">
        <f>-'C3Q'!D43</f>
        <v>1930900</v>
      </c>
      <c r="F45" s="352">
        <f>-'C3Q'!E43</f>
        <v>155171.98000000001</v>
      </c>
      <c r="G45" s="352">
        <f>-'C3Q'!F43</f>
        <v>1018752.45</v>
      </c>
      <c r="H45" s="352">
        <f>-'C3Q'!G43</f>
        <v>1042087.38</v>
      </c>
      <c r="I45" s="34">
        <f t="shared" si="1"/>
        <v>-23334.930000000051</v>
      </c>
      <c r="J45" s="351">
        <f t="shared" si="7"/>
        <v>-2.2392488814133849E-2</v>
      </c>
      <c r="K45" s="708">
        <f>-'C3Q'!J43</f>
        <v>1930900</v>
      </c>
      <c r="L45" s="339"/>
      <c r="M45" s="340"/>
      <c r="N45" s="340"/>
      <c r="O45" s="340"/>
      <c r="P45" s="340"/>
      <c r="Q45" s="340"/>
      <c r="R45" s="340"/>
      <c r="S45" s="340"/>
      <c r="T45" s="340"/>
      <c r="U45" s="340"/>
      <c r="V45" s="340"/>
      <c r="W45" s="340"/>
    </row>
    <row r="46" spans="1:23" ht="11.25" customHeight="1" x14ac:dyDescent="0.25">
      <c r="A46" s="30" t="str">
        <f>'Org structure'!E51</f>
        <v>4.13 - FX013002004002 - Sports Grounds and Stadiums -Stadiums (Sport and Recreation) - DB</v>
      </c>
      <c r="B46" s="197"/>
      <c r="C46" s="708">
        <f>-'C3Q'!B44</f>
        <v>0</v>
      </c>
      <c r="D46" s="703">
        <f>-'C3Q'!C44</f>
        <v>0</v>
      </c>
      <c r="E46" s="352">
        <f>-'C3Q'!D44</f>
        <v>11800000</v>
      </c>
      <c r="F46" s="352">
        <f>-'C3Q'!E44</f>
        <v>13245050.09</v>
      </c>
      <c r="G46" s="352">
        <f>-'C3Q'!F44</f>
        <v>33172070.629999999</v>
      </c>
      <c r="H46" s="352">
        <f>-'C3Q'!G44</f>
        <v>19764853.649999999</v>
      </c>
      <c r="I46" s="34">
        <f t="shared" si="1"/>
        <v>13407216.98</v>
      </c>
      <c r="J46" s="351">
        <f t="shared" si="7"/>
        <v>0.678336263825561</v>
      </c>
      <c r="K46" s="708">
        <f>-'C3Q'!J44</f>
        <v>11800000</v>
      </c>
      <c r="L46" s="339"/>
      <c r="M46" s="340"/>
      <c r="N46" s="340"/>
      <c r="O46" s="340"/>
      <c r="P46" s="340"/>
      <c r="Q46" s="340"/>
      <c r="R46" s="340"/>
      <c r="S46" s="340"/>
      <c r="T46" s="340"/>
      <c r="U46" s="340"/>
      <c r="V46" s="340"/>
      <c r="W46" s="340"/>
    </row>
    <row r="47" spans="1:23" ht="11.25" customHeight="1" x14ac:dyDescent="0.25">
      <c r="A47" s="66" t="str">
        <f>'Org structure'!A6</f>
        <v>Vote 5 - CORPORATE SERVICES - ADMINISTRATION</v>
      </c>
      <c r="B47" s="132"/>
      <c r="C47" s="707">
        <f t="shared" ref="C47:H47" si="8">SUM(C48:C50)</f>
        <v>7174988.7000000002</v>
      </c>
      <c r="D47" s="723">
        <f t="shared" si="8"/>
        <v>11624500</v>
      </c>
      <c r="E47" s="349">
        <f t="shared" si="8"/>
        <v>7624500</v>
      </c>
      <c r="F47" s="350">
        <f t="shared" si="8"/>
        <v>836249.74</v>
      </c>
      <c r="G47" s="349">
        <f t="shared" si="8"/>
        <v>7331718.2999999998</v>
      </c>
      <c r="H47" s="350">
        <f t="shared" si="8"/>
        <v>9311029.879999999</v>
      </c>
      <c r="I47" s="34">
        <f t="shared" si="1"/>
        <v>-1979311.5799999991</v>
      </c>
      <c r="J47" s="351">
        <f t="shared" si="7"/>
        <v>-0.21257708390041161</v>
      </c>
      <c r="K47" s="707">
        <f>SUM(K48:K50)</f>
        <v>7624500</v>
      </c>
      <c r="L47" s="339"/>
      <c r="M47" s="340"/>
      <c r="N47" s="340"/>
      <c r="O47" s="340"/>
      <c r="P47" s="340"/>
      <c r="Q47" s="340"/>
      <c r="R47" s="340"/>
      <c r="S47" s="340"/>
      <c r="T47" s="340"/>
      <c r="U47" s="340"/>
      <c r="V47" s="340"/>
      <c r="W47" s="340"/>
    </row>
    <row r="48" spans="1:23" ht="11.25" customHeight="1" x14ac:dyDescent="0.25">
      <c r="A48" s="30" t="str">
        <f>'Org structure'!E53</f>
        <v>5.1 - FX001001005003 - Municipal Buildings (Community and Social Services) - AD</v>
      </c>
      <c r="B48" s="197"/>
      <c r="C48" s="708">
        <f>-'C3Q'!B46</f>
        <v>602746.27</v>
      </c>
      <c r="D48" s="703">
        <f>-'C3Q'!C46</f>
        <v>1475700</v>
      </c>
      <c r="E48" s="352">
        <f>-'C3Q'!D46</f>
        <v>1475700</v>
      </c>
      <c r="F48" s="352">
        <f>-'C3Q'!E46</f>
        <v>12508.33</v>
      </c>
      <c r="G48" s="352">
        <f>-'C3Q'!F46</f>
        <v>1825479.13</v>
      </c>
      <c r="H48" s="352">
        <f>-'C3Q'!G46</f>
        <v>1966779.16</v>
      </c>
      <c r="I48" s="34">
        <f t="shared" si="1"/>
        <v>-141300.03000000003</v>
      </c>
      <c r="J48" s="351">
        <f t="shared" si="7"/>
        <v>-7.1843363440967131E-2</v>
      </c>
      <c r="K48" s="708">
        <f>-'C3Q'!J46</f>
        <v>1475700</v>
      </c>
      <c r="L48" s="339"/>
      <c r="M48" s="340"/>
      <c r="N48" s="340"/>
      <c r="O48" s="340"/>
      <c r="P48" s="340"/>
      <c r="Q48" s="340"/>
      <c r="R48" s="340"/>
      <c r="S48" s="340"/>
      <c r="T48" s="340"/>
      <c r="U48" s="340"/>
      <c r="V48" s="340"/>
      <c r="W48" s="340"/>
    </row>
    <row r="49" spans="1:23" ht="11.25" customHeight="1" x14ac:dyDescent="0.25">
      <c r="A49" s="30" t="str">
        <f>'Org structure'!E54</f>
        <v>5.2 - FX005001001 - Administrative and Corporate Support (Finance and Administration) - BB</v>
      </c>
      <c r="B49" s="197"/>
      <c r="C49" s="708">
        <f>-'C3Q'!B47</f>
        <v>1099019.3400000001</v>
      </c>
      <c r="D49" s="703">
        <f>-'C3Q'!C47</f>
        <v>532300</v>
      </c>
      <c r="E49" s="352">
        <f>-'C3Q'!D47</f>
        <v>532300</v>
      </c>
      <c r="F49" s="352">
        <f>-'C3Q'!E47</f>
        <v>44358.33</v>
      </c>
      <c r="G49" s="352">
        <f>-'C3Q'!F47</f>
        <v>443583.3</v>
      </c>
      <c r="H49" s="352">
        <f>-'C3Q'!G47</f>
        <v>443583.33</v>
      </c>
      <c r="I49" s="34">
        <f t="shared" si="1"/>
        <v>-3.0000000027939677E-2</v>
      </c>
      <c r="J49" s="351">
        <f t="shared" si="7"/>
        <v>-6.7631035701769219E-8</v>
      </c>
      <c r="K49" s="708">
        <f>-'C3Q'!J47</f>
        <v>532300</v>
      </c>
      <c r="L49" s="339"/>
      <c r="M49" s="340"/>
      <c r="N49" s="340"/>
      <c r="O49" s="340"/>
      <c r="P49" s="340"/>
      <c r="Q49" s="340"/>
      <c r="R49" s="340"/>
      <c r="S49" s="340"/>
      <c r="T49" s="340"/>
      <c r="U49" s="340"/>
      <c r="V49" s="340"/>
      <c r="W49" s="340"/>
    </row>
    <row r="50" spans="1:23" ht="11.25" customHeight="1" x14ac:dyDescent="0.25">
      <c r="A50" s="30" t="str">
        <f>'Org structure'!E55</f>
        <v>5.3 - FX009001002 - Air Transport (Other) - BV</v>
      </c>
      <c r="B50" s="197"/>
      <c r="C50" s="708">
        <f>-'C3Q'!B48</f>
        <v>5473223.0899999999</v>
      </c>
      <c r="D50" s="703">
        <f>-'C3Q'!C48</f>
        <v>9616500</v>
      </c>
      <c r="E50" s="352">
        <f>-'C3Q'!D48</f>
        <v>5616500</v>
      </c>
      <c r="F50" s="352">
        <f>-'C3Q'!E48</f>
        <v>779383.08</v>
      </c>
      <c r="G50" s="352">
        <f>-'C3Q'!F48</f>
        <v>5062655.87</v>
      </c>
      <c r="H50" s="352">
        <f>-'C3Q'!G48</f>
        <v>6900667.3899999997</v>
      </c>
      <c r="I50" s="34">
        <f t="shared" si="1"/>
        <v>-1838011.5199999996</v>
      </c>
      <c r="J50" s="351">
        <f t="shared" si="7"/>
        <v>-0.26635271867522942</v>
      </c>
      <c r="K50" s="708">
        <f>-'C3Q'!J48</f>
        <v>5616500</v>
      </c>
      <c r="L50" s="339"/>
      <c r="M50" s="340"/>
      <c r="N50" s="340"/>
      <c r="O50" s="340"/>
      <c r="P50" s="340"/>
      <c r="Q50" s="340"/>
      <c r="R50" s="340"/>
      <c r="S50" s="340"/>
      <c r="T50" s="340"/>
      <c r="U50" s="340"/>
      <c r="V50" s="340"/>
      <c r="W50" s="340"/>
    </row>
    <row r="51" spans="1:23" ht="11.25" customHeight="1" x14ac:dyDescent="0.25">
      <c r="A51" s="66" t="str">
        <f>'Org structure'!A7</f>
        <v>Vote 6 - CORPORATE SERVICES - INFORMATION COMMUNICATION TECHNOLOGY</v>
      </c>
      <c r="B51" s="132"/>
      <c r="C51" s="707">
        <f t="shared" ref="C51:H51" si="9">SUM(C52:C52)</f>
        <v>582966.48</v>
      </c>
      <c r="D51" s="723">
        <f t="shared" si="9"/>
        <v>813500</v>
      </c>
      <c r="E51" s="349">
        <f t="shared" si="9"/>
        <v>946200</v>
      </c>
      <c r="F51" s="350">
        <f t="shared" si="9"/>
        <v>122608.34</v>
      </c>
      <c r="G51" s="349">
        <f t="shared" si="9"/>
        <v>317083.40000000002</v>
      </c>
      <c r="H51" s="350">
        <f t="shared" si="9"/>
        <v>216169.08</v>
      </c>
      <c r="I51" s="34">
        <f t="shared" si="1"/>
        <v>100914.32000000004</v>
      </c>
      <c r="J51" s="351">
        <f t="shared" si="7"/>
        <v>0.46683050138345428</v>
      </c>
      <c r="K51" s="707">
        <f>SUM(K52:K52)</f>
        <v>946200</v>
      </c>
      <c r="L51" s="339"/>
      <c r="M51" s="340"/>
      <c r="N51" s="340"/>
      <c r="O51" s="340"/>
      <c r="P51" s="340"/>
      <c r="Q51" s="340"/>
      <c r="R51" s="340"/>
      <c r="S51" s="340"/>
      <c r="T51" s="340"/>
      <c r="U51" s="340"/>
      <c r="V51" s="340"/>
      <c r="W51" s="340"/>
    </row>
    <row r="52" spans="1:23" ht="11.25" customHeight="1" x14ac:dyDescent="0.25">
      <c r="A52" s="30" t="str">
        <f>'Org structure'!E64</f>
        <v>6,1 - FX005001007 - Information Technology (Finance and Administration) - BK</v>
      </c>
      <c r="B52" s="197"/>
      <c r="C52" s="708">
        <f>-'C3Q'!B50</f>
        <v>582966.48</v>
      </c>
      <c r="D52" s="703">
        <f>-'C3Q'!C50</f>
        <v>813500</v>
      </c>
      <c r="E52" s="352">
        <f>-'C3Q'!D50</f>
        <v>946200</v>
      </c>
      <c r="F52" s="352">
        <f>-'C3Q'!E50</f>
        <v>122608.34</v>
      </c>
      <c r="G52" s="352">
        <f>-'C3Q'!F50</f>
        <v>317083.40000000002</v>
      </c>
      <c r="H52" s="352">
        <f>-'C3Q'!G50</f>
        <v>216169.08</v>
      </c>
      <c r="I52" s="34">
        <f t="shared" si="1"/>
        <v>100914.32000000004</v>
      </c>
      <c r="J52" s="351">
        <f t="shared" si="7"/>
        <v>0.46683050138345428</v>
      </c>
      <c r="K52" s="708">
        <f>-'C3Q'!J50</f>
        <v>946200</v>
      </c>
      <c r="L52" s="703">
        <f>-'C3Q'!K50</f>
        <v>0</v>
      </c>
      <c r="M52" s="352">
        <f>-'C3Q'!L50</f>
        <v>0</v>
      </c>
      <c r="N52" s="352">
        <f>-'C3Q'!M50</f>
        <v>0</v>
      </c>
      <c r="O52" s="352" t="e">
        <f>-'C3Q'!N50</f>
        <v>#VALUE!</v>
      </c>
      <c r="P52" s="352">
        <f>-'C3Q'!O50</f>
        <v>-167713056.75</v>
      </c>
      <c r="Q52" s="352">
        <f>-'C3Q'!P50</f>
        <v>-53996500</v>
      </c>
      <c r="R52" s="352">
        <f>-'C3Q'!Q50</f>
        <v>-179867034.83000001</v>
      </c>
      <c r="S52" s="352">
        <f>-'C3Q'!R50</f>
        <v>1503286.33</v>
      </c>
      <c r="T52" s="352">
        <f>-'C3Q'!S50</f>
        <v>-120925842.40000001</v>
      </c>
      <c r="U52" s="352">
        <f>-'C3Q'!T50</f>
        <v>-134660898.18000001</v>
      </c>
      <c r="V52" s="352">
        <f>-'C3Q'!U50</f>
        <v>-13735055.779999999</v>
      </c>
      <c r="W52" s="352">
        <f>-'C3Q'!V50</f>
        <v>-10.199735755245401</v>
      </c>
    </row>
    <row r="53" spans="1:23" ht="11.25" customHeight="1" x14ac:dyDescent="0.25">
      <c r="A53" s="66" t="str">
        <f>'Org structure'!A8</f>
        <v>Vote 7 - CORPORATE SERVICES - HUMAN RESOURCES</v>
      </c>
      <c r="B53" s="132"/>
      <c r="C53" s="707">
        <f t="shared" ref="C53:H53" si="10">SUM(C54:C57)</f>
        <v>2878898.02</v>
      </c>
      <c r="D53" s="723">
        <f t="shared" si="10"/>
        <v>1586600</v>
      </c>
      <c r="E53" s="349">
        <f t="shared" si="10"/>
        <v>1584800</v>
      </c>
      <c r="F53" s="350">
        <f t="shared" si="10"/>
        <v>53465.47</v>
      </c>
      <c r="G53" s="349">
        <f t="shared" si="10"/>
        <v>1264381.74</v>
      </c>
      <c r="H53" s="350">
        <f t="shared" si="10"/>
        <v>1238030.6100000001</v>
      </c>
      <c r="I53" s="34">
        <f t="shared" si="1"/>
        <v>26351.129999999888</v>
      </c>
      <c r="J53" s="351">
        <f t="shared" si="7"/>
        <v>2.1284716053991497E-2</v>
      </c>
      <c r="K53" s="707">
        <f>SUM(K54:K57)</f>
        <v>1584800</v>
      </c>
      <c r="L53" s="339"/>
      <c r="M53" s="340"/>
      <c r="N53" s="340"/>
      <c r="O53" s="340"/>
      <c r="P53" s="340"/>
      <c r="Q53" s="340"/>
      <c r="R53" s="340"/>
      <c r="S53" s="340"/>
      <c r="T53" s="340"/>
      <c r="U53" s="340"/>
      <c r="V53" s="340"/>
      <c r="W53" s="340"/>
    </row>
    <row r="54" spans="1:23" ht="11.25" customHeight="1" x14ac:dyDescent="0.25">
      <c r="A54" s="30" t="str">
        <f>'Org structure'!E75</f>
        <v>7,1 - FX005001006001 - Human Resources (Finance and Administration) - BG</v>
      </c>
      <c r="B54" s="197"/>
      <c r="C54" s="708">
        <f>-'C3Q'!B52</f>
        <v>451376.95</v>
      </c>
      <c r="D54" s="703">
        <f>-'C3Q'!C52</f>
        <v>204700</v>
      </c>
      <c r="E54" s="352">
        <f>-'C3Q'!D52</f>
        <v>204700</v>
      </c>
      <c r="F54" s="352">
        <f>-'C3Q'!E52</f>
        <v>17128.849999999999</v>
      </c>
      <c r="G54" s="352">
        <f>-'C3Q'!F52</f>
        <v>170653.82</v>
      </c>
      <c r="H54" s="352">
        <f>-'C3Q'!G52</f>
        <v>170583.33</v>
      </c>
      <c r="I54" s="34">
        <f t="shared" si="1"/>
        <v>70.490000000019791</v>
      </c>
      <c r="J54" s="351">
        <f t="shared" si="7"/>
        <v>4.1322912385412919E-4</v>
      </c>
      <c r="K54" s="708">
        <f>-'C3Q'!J52</f>
        <v>204700</v>
      </c>
      <c r="L54" s="339"/>
      <c r="M54" s="340"/>
      <c r="N54" s="340"/>
      <c r="O54" s="340"/>
      <c r="P54" s="340"/>
      <c r="Q54" s="340"/>
      <c r="R54" s="340"/>
      <c r="S54" s="340"/>
      <c r="T54" s="340"/>
      <c r="U54" s="340"/>
      <c r="V54" s="340"/>
      <c r="W54" s="340"/>
    </row>
    <row r="55" spans="1:23" ht="11.25" customHeight="1" x14ac:dyDescent="0.25">
      <c r="A55" s="30" t="str">
        <f>'Org structure'!E76</f>
        <v>7,2 - FX005001006002 - Management Services  (Finance and Administration) - BH</v>
      </c>
      <c r="B55" s="197"/>
      <c r="C55" s="708">
        <f>-'C3Q'!B53</f>
        <v>91229.49</v>
      </c>
      <c r="D55" s="703">
        <f>-'C3Q'!C53</f>
        <v>27300</v>
      </c>
      <c r="E55" s="352">
        <f>-'C3Q'!D53</f>
        <v>27400</v>
      </c>
      <c r="F55" s="352">
        <f>-'C3Q'!E53</f>
        <v>2275</v>
      </c>
      <c r="G55" s="352">
        <f>-'C3Q'!F53</f>
        <v>22750</v>
      </c>
      <c r="H55" s="352">
        <f>-'C3Q'!G53</f>
        <v>22792.87</v>
      </c>
      <c r="I55" s="34">
        <f t="shared" si="1"/>
        <v>-42.869999999998981</v>
      </c>
      <c r="J55" s="351">
        <f t="shared" si="7"/>
        <v>-1.880851336404717E-3</v>
      </c>
      <c r="K55" s="708">
        <f>-'C3Q'!J53</f>
        <v>27400</v>
      </c>
      <c r="L55" s="339"/>
      <c r="M55" s="340"/>
      <c r="N55" s="340"/>
      <c r="O55" s="340"/>
      <c r="P55" s="340"/>
      <c r="Q55" s="340"/>
      <c r="R55" s="340"/>
      <c r="S55" s="340"/>
      <c r="T55" s="340"/>
      <c r="U55" s="340"/>
      <c r="V55" s="340"/>
      <c r="W55" s="340"/>
    </row>
    <row r="56" spans="1:23" ht="11.25" customHeight="1" x14ac:dyDescent="0.25">
      <c r="A56" s="30" t="str">
        <f>'Org structure'!E77</f>
        <v>7,3 - FX005001006004 - Training and Industrial Relations (Finance and Administration) - BJ</v>
      </c>
      <c r="B56" s="197"/>
      <c r="C56" s="708">
        <f>-'C3Q'!B54</f>
        <v>2080641.91</v>
      </c>
      <c r="D56" s="703">
        <f>-'C3Q'!C54</f>
        <v>1185900</v>
      </c>
      <c r="E56" s="352">
        <f>-'C3Q'!D54</f>
        <v>1186000</v>
      </c>
      <c r="F56" s="352">
        <f>-'C3Q'!E54</f>
        <v>18200</v>
      </c>
      <c r="G56" s="352">
        <f>-'C3Q'!F54</f>
        <v>922550.73</v>
      </c>
      <c r="H56" s="352">
        <f>-'C3Q'!G54</f>
        <v>922593.6</v>
      </c>
      <c r="I56" s="34">
        <f t="shared" si="1"/>
        <v>-42.869999999995343</v>
      </c>
      <c r="J56" s="351">
        <f t="shared" si="7"/>
        <v>-4.6466830032199818E-5</v>
      </c>
      <c r="K56" s="708">
        <f>-'C3Q'!J54</f>
        <v>1186000</v>
      </c>
      <c r="L56" s="339"/>
      <c r="M56" s="340"/>
      <c r="N56" s="340"/>
      <c r="O56" s="340"/>
      <c r="P56" s="340"/>
      <c r="Q56" s="340"/>
      <c r="R56" s="340"/>
      <c r="S56" s="340"/>
      <c r="T56" s="340"/>
      <c r="U56" s="340"/>
      <c r="V56" s="340"/>
      <c r="W56" s="340"/>
    </row>
    <row r="57" spans="1:23" ht="11.25" customHeight="1" x14ac:dyDescent="0.25">
      <c r="A57" s="30" t="str">
        <f>'Org structure'!E78</f>
        <v>7,4 - FX005001006003 - Occupational Clinic (Finance and Administration) - BI</v>
      </c>
      <c r="B57" s="197"/>
      <c r="C57" s="708">
        <f>-'C3Q'!B55</f>
        <v>255649.67</v>
      </c>
      <c r="D57" s="703">
        <f>-'C3Q'!C55</f>
        <v>168700</v>
      </c>
      <c r="E57" s="352">
        <f>-'C3Q'!D55</f>
        <v>166700</v>
      </c>
      <c r="F57" s="352">
        <f>-'C3Q'!E55</f>
        <v>15861.62</v>
      </c>
      <c r="G57" s="352">
        <f>-'C3Q'!F55</f>
        <v>148427.19</v>
      </c>
      <c r="H57" s="352">
        <f>-'C3Q'!G55</f>
        <v>122060.81</v>
      </c>
      <c r="I57" s="34">
        <f t="shared" si="1"/>
        <v>26366.380000000005</v>
      </c>
      <c r="J57" s="351">
        <f t="shared" si="7"/>
        <v>0.21601020016170633</v>
      </c>
      <c r="K57" s="708">
        <f>-'C3Q'!J55</f>
        <v>166700</v>
      </c>
      <c r="L57" s="339"/>
      <c r="M57" s="340"/>
      <c r="N57" s="340"/>
      <c r="O57" s="340"/>
      <c r="P57" s="340"/>
      <c r="Q57" s="340"/>
      <c r="R57" s="340"/>
      <c r="S57" s="340"/>
      <c r="T57" s="340"/>
      <c r="U57" s="340"/>
      <c r="V57" s="340"/>
      <c r="W57" s="340"/>
    </row>
    <row r="58" spans="1:23" ht="11.25" customHeight="1" x14ac:dyDescent="0.25">
      <c r="A58" s="66" t="str">
        <f>'Org structure'!A9</f>
        <v>Vote 8 - FINANCIAL SERVICES</v>
      </c>
      <c r="B58" s="197"/>
      <c r="C58" s="707">
        <f t="shared" ref="C58:H58" si="11">SUM(C59:C63)</f>
        <v>940636940.83000004</v>
      </c>
      <c r="D58" s="723">
        <f t="shared" si="11"/>
        <v>1060007700</v>
      </c>
      <c r="E58" s="349">
        <f t="shared" si="11"/>
        <v>1063346247</v>
      </c>
      <c r="F58" s="350">
        <f t="shared" si="11"/>
        <v>64644521.799999997</v>
      </c>
      <c r="G58" s="349">
        <f t="shared" si="11"/>
        <v>913035428.49000001</v>
      </c>
      <c r="H58" s="350">
        <f t="shared" si="11"/>
        <v>924304276.9000001</v>
      </c>
      <c r="I58" s="34">
        <f t="shared" si="1"/>
        <v>-11268848.410000086</v>
      </c>
      <c r="J58" s="351">
        <f t="shared" si="7"/>
        <v>-1.2191708608981429E-2</v>
      </c>
      <c r="K58" s="707">
        <f>SUM(K59:K63)</f>
        <v>1063346247</v>
      </c>
      <c r="L58" s="353"/>
      <c r="M58" s="354"/>
      <c r="N58" s="354"/>
      <c r="O58" s="354"/>
      <c r="P58" s="354"/>
      <c r="Q58" s="354"/>
      <c r="R58" s="354"/>
      <c r="S58" s="354"/>
      <c r="T58" s="354"/>
      <c r="U58" s="354"/>
      <c r="V58" s="354"/>
      <c r="W58" s="354"/>
    </row>
    <row r="59" spans="1:23" ht="11.25" customHeight="1" x14ac:dyDescent="0.25">
      <c r="A59" s="30" t="str">
        <f>'Org structure'!E86</f>
        <v>8,1 - FX005001004001 - Financial Management Grant Interns (Finance and Administration) - DR</v>
      </c>
      <c r="B59" s="197"/>
      <c r="C59" s="708">
        <f>-'C3Q'!B57</f>
        <v>2500000</v>
      </c>
      <c r="D59" s="703">
        <f>-'C3Q'!C57</f>
        <v>2500000</v>
      </c>
      <c r="E59" s="352">
        <f>-'C3Q'!D57</f>
        <v>2500000</v>
      </c>
      <c r="F59" s="352">
        <f>-'C3Q'!E57</f>
        <v>174491.17</v>
      </c>
      <c r="G59" s="352">
        <f>-'C3Q'!F57</f>
        <v>2038780.47</v>
      </c>
      <c r="H59" s="352">
        <f>-'C3Q'!G57</f>
        <v>623407.43999999994</v>
      </c>
      <c r="I59" s="34">
        <f t="shared" si="1"/>
        <v>1415373.03</v>
      </c>
      <c r="J59" s="351">
        <f t="shared" si="7"/>
        <v>2.2703819992908651</v>
      </c>
      <c r="K59" s="708">
        <f>-'C3Q'!J57</f>
        <v>2500000</v>
      </c>
      <c r="L59" s="353"/>
      <c r="M59" s="354"/>
      <c r="N59" s="354"/>
      <c r="O59" s="354"/>
      <c r="P59" s="354"/>
      <c r="Q59" s="354"/>
      <c r="R59" s="354"/>
      <c r="S59" s="354"/>
      <c r="T59" s="354"/>
      <c r="U59" s="354"/>
      <c r="V59" s="354"/>
      <c r="W59" s="354"/>
    </row>
    <row r="60" spans="1:23" ht="11.25" customHeight="1" x14ac:dyDescent="0.25">
      <c r="A60" s="30" t="str">
        <f>'Org structure'!E87</f>
        <v>8,2 - FX005001004002 - Revenue and Expenditure (Finance and Administration) - DS</v>
      </c>
      <c r="B60" s="197"/>
      <c r="C60" s="708">
        <f>-'C3Q'!B58</f>
        <v>935412877.90999997</v>
      </c>
      <c r="D60" s="703">
        <f>-'C3Q'!C58</f>
        <v>1055120100</v>
      </c>
      <c r="E60" s="352">
        <f>-'C3Q'!D58</f>
        <v>1057810947</v>
      </c>
      <c r="F60" s="352">
        <f>-'C3Q'!E58</f>
        <v>64379796.829999998</v>
      </c>
      <c r="G60" s="352">
        <f>-'C3Q'!F58</f>
        <v>906557402.62</v>
      </c>
      <c r="H60" s="352">
        <f>-'C3Q'!G58</f>
        <v>919375597.58000004</v>
      </c>
      <c r="I60" s="34">
        <f t="shared" si="1"/>
        <v>-12818194.960000038</v>
      </c>
      <c r="J60" s="351">
        <f t="shared" si="7"/>
        <v>-1.3942283212367571E-2</v>
      </c>
      <c r="K60" s="708">
        <f>-'C3Q'!J58</f>
        <v>1057810947</v>
      </c>
      <c r="L60" s="353"/>
      <c r="M60" s="354"/>
      <c r="N60" s="354"/>
      <c r="O60" s="354"/>
      <c r="P60" s="354"/>
      <c r="Q60" s="354"/>
      <c r="R60" s="354"/>
      <c r="S60" s="354"/>
      <c r="T60" s="354"/>
      <c r="U60" s="354"/>
      <c r="V60" s="354"/>
      <c r="W60" s="354"/>
    </row>
    <row r="61" spans="1:23" ht="11.25" customHeight="1" x14ac:dyDescent="0.25">
      <c r="A61" s="30" t="str">
        <f>'Org structure'!E88</f>
        <v>8,3 - FX005001004003 - Finance (Finance and Adminstration) - DT</v>
      </c>
      <c r="B61" s="197"/>
      <c r="C61" s="708">
        <f>-'C3Q'!B59</f>
        <v>82144.240000000005</v>
      </c>
      <c r="D61" s="703">
        <f>-'C3Q'!C59</f>
        <v>0</v>
      </c>
      <c r="E61" s="352">
        <f>-'C3Q'!D59</f>
        <v>0</v>
      </c>
      <c r="F61" s="352">
        <f>-'C3Q'!E59</f>
        <v>0</v>
      </c>
      <c r="G61" s="352">
        <f>-'C3Q'!F59</f>
        <v>0</v>
      </c>
      <c r="H61" s="352">
        <f>-'C3Q'!G59</f>
        <v>0</v>
      </c>
      <c r="I61" s="34">
        <f t="shared" si="1"/>
        <v>0</v>
      </c>
      <c r="J61" s="351" t="str">
        <f t="shared" si="7"/>
        <v/>
      </c>
      <c r="K61" s="708">
        <f>-'C3Q'!J59</f>
        <v>0</v>
      </c>
      <c r="L61" s="353"/>
      <c r="M61" s="354"/>
      <c r="N61" s="354"/>
      <c r="O61" s="354"/>
      <c r="P61" s="354"/>
      <c r="Q61" s="354"/>
      <c r="R61" s="354"/>
      <c r="S61" s="354"/>
      <c r="T61" s="354"/>
      <c r="U61" s="354"/>
      <c r="V61" s="354"/>
      <c r="W61" s="354"/>
    </row>
    <row r="62" spans="1:23" ht="11.25" customHeight="1" x14ac:dyDescent="0.25">
      <c r="A62" s="30" t="str">
        <f>'Org structure'!E89</f>
        <v>8,4 - FX005001013 - Supply Chain Management (Finance and Administration) - BQ</v>
      </c>
      <c r="B62" s="197"/>
      <c r="C62" s="708">
        <f>-'C3Q'!B60</f>
        <v>2532974.44</v>
      </c>
      <c r="D62" s="703">
        <f>-'C3Q'!C60</f>
        <v>2319400</v>
      </c>
      <c r="E62" s="352">
        <f>-'C3Q'!D60</f>
        <v>2967100</v>
      </c>
      <c r="F62" s="352">
        <f>-'C3Q'!E60</f>
        <v>84550.47</v>
      </c>
      <c r="G62" s="352">
        <f>-'C3Q'!F60</f>
        <v>4382412.0999999996</v>
      </c>
      <c r="H62" s="352">
        <f>-'C3Q'!G60</f>
        <v>4248438.55</v>
      </c>
      <c r="I62" s="34">
        <f t="shared" si="1"/>
        <v>133973.54999999981</v>
      </c>
      <c r="J62" s="351">
        <f t="shared" si="7"/>
        <v>3.1534774111302566E-2</v>
      </c>
      <c r="K62" s="708">
        <f>-'C3Q'!J60</f>
        <v>2967100</v>
      </c>
      <c r="L62" s="353"/>
      <c r="M62" s="354"/>
      <c r="N62" s="354"/>
      <c r="O62" s="354"/>
      <c r="P62" s="354"/>
      <c r="Q62" s="354"/>
      <c r="R62" s="354"/>
      <c r="S62" s="354"/>
      <c r="T62" s="354"/>
      <c r="U62" s="354"/>
      <c r="V62" s="354"/>
      <c r="W62" s="354"/>
    </row>
    <row r="63" spans="1:23" ht="11.25" customHeight="1" x14ac:dyDescent="0.25">
      <c r="A63" s="30" t="str">
        <f>'Org structure'!E90</f>
        <v>8,5 - FX005002001 - Asset Management (Finance and Administration) - BS</v>
      </c>
      <c r="B63" s="197"/>
      <c r="C63" s="708">
        <f>-'C3Q'!B61</f>
        <v>108944.24</v>
      </c>
      <c r="D63" s="703">
        <f>-'C3Q'!C61</f>
        <v>68200</v>
      </c>
      <c r="E63" s="352">
        <f>-'C3Q'!D61</f>
        <v>68200</v>
      </c>
      <c r="F63" s="352">
        <f>-'C3Q'!E61</f>
        <v>5683.33</v>
      </c>
      <c r="G63" s="352">
        <f>-'C3Q'!F61</f>
        <v>56833.3</v>
      </c>
      <c r="H63" s="352">
        <f>-'C3Q'!G61</f>
        <v>56833.33</v>
      </c>
      <c r="I63" s="34">
        <f t="shared" si="1"/>
        <v>-2.9999999998835847E-2</v>
      </c>
      <c r="J63" s="351">
        <f t="shared" si="7"/>
        <v>-5.278592684756611E-7</v>
      </c>
      <c r="K63" s="708">
        <f>-'C3Q'!J61</f>
        <v>68200</v>
      </c>
      <c r="L63" s="353"/>
      <c r="M63" s="354"/>
      <c r="N63" s="354"/>
      <c r="O63" s="354"/>
      <c r="P63" s="354"/>
      <c r="Q63" s="354"/>
      <c r="R63" s="354"/>
      <c r="S63" s="354"/>
      <c r="T63" s="354"/>
      <c r="U63" s="354"/>
      <c r="V63" s="354"/>
      <c r="W63" s="354"/>
    </row>
    <row r="64" spans="1:23" ht="11.25" customHeight="1" x14ac:dyDescent="0.25">
      <c r="A64" s="66" t="str">
        <f>'Org structure'!A10</f>
        <v>Vote 9 - ELECTRICAL AND ENERGY SUPPLY SERVICES</v>
      </c>
      <c r="B64" s="197"/>
      <c r="C64" s="707">
        <f t="shared" ref="C64:H64" si="12">SUM(C65:C71)</f>
        <v>2115777322.9300001</v>
      </c>
      <c r="D64" s="723">
        <f t="shared" si="12"/>
        <v>2629286100</v>
      </c>
      <c r="E64" s="349">
        <f t="shared" si="12"/>
        <v>2442734200</v>
      </c>
      <c r="F64" s="350">
        <f t="shared" si="12"/>
        <v>197192421.72000003</v>
      </c>
      <c r="G64" s="349">
        <f t="shared" si="12"/>
        <v>2010934502.1699998</v>
      </c>
      <c r="H64" s="350">
        <f t="shared" si="12"/>
        <v>1961605412.3099999</v>
      </c>
      <c r="I64" s="34">
        <f t="shared" si="1"/>
        <v>49329089.859999895</v>
      </c>
      <c r="J64" s="351">
        <f t="shared" si="7"/>
        <v>2.5147305136107686E-2</v>
      </c>
      <c r="K64" s="707">
        <f>SUM(K65:K71)</f>
        <v>2442734200</v>
      </c>
      <c r="L64" s="353"/>
      <c r="M64" s="354"/>
      <c r="N64" s="354"/>
      <c r="O64" s="354"/>
      <c r="P64" s="354"/>
      <c r="Q64" s="354"/>
      <c r="R64" s="354"/>
      <c r="S64" s="354"/>
      <c r="T64" s="354"/>
      <c r="U64" s="354"/>
      <c r="V64" s="354"/>
      <c r="W64" s="354"/>
    </row>
    <row r="65" spans="1:23" ht="11.25" customHeight="1" x14ac:dyDescent="0.25">
      <c r="A65" s="30" t="str">
        <f>'Org structure'!E97</f>
        <v>9,1 - FX002001001001 - Marketing and Customer relations (Energy Sources) - AI</v>
      </c>
      <c r="B65" s="197"/>
      <c r="C65" s="708">
        <f>-'C3Q'!B63</f>
        <v>646729.38</v>
      </c>
      <c r="D65" s="703">
        <f>-'C3Q'!C63</f>
        <v>286600</v>
      </c>
      <c r="E65" s="352">
        <f>-'C3Q'!D63</f>
        <v>286600</v>
      </c>
      <c r="F65" s="352">
        <f>-'C3Q'!E63</f>
        <v>23875</v>
      </c>
      <c r="G65" s="352">
        <f>-'C3Q'!F63</f>
        <v>238844.06</v>
      </c>
      <c r="H65" s="352">
        <f>-'C3Q'!G63</f>
        <v>238944.06</v>
      </c>
      <c r="I65" s="34">
        <f t="shared" si="1"/>
        <v>-100</v>
      </c>
      <c r="J65" s="351">
        <f t="shared" si="7"/>
        <v>-4.1850799722746823E-4</v>
      </c>
      <c r="K65" s="708">
        <f>-'C3Q'!J63</f>
        <v>286600</v>
      </c>
      <c r="L65" s="353"/>
      <c r="M65" s="354"/>
      <c r="N65" s="354"/>
      <c r="O65" s="354"/>
      <c r="P65" s="354"/>
      <c r="Q65" s="354"/>
      <c r="R65" s="354"/>
      <c r="S65" s="354"/>
      <c r="T65" s="354"/>
      <c r="U65" s="354"/>
      <c r="V65" s="354"/>
      <c r="W65" s="354"/>
    </row>
    <row r="66" spans="1:23" ht="11.25" customHeight="1" x14ac:dyDescent="0.25">
      <c r="A66" s="30" t="str">
        <f>'Org structure'!E98</f>
        <v>9,2 - FX002001001002 - Administration (Energy Sources) - AJ</v>
      </c>
      <c r="B66" s="197"/>
      <c r="C66" s="708">
        <f>-'C3Q'!B64</f>
        <v>19657.04</v>
      </c>
      <c r="D66" s="703">
        <f>-'C3Q'!C64</f>
        <v>41200</v>
      </c>
      <c r="E66" s="352">
        <f>-'C3Q'!D64</f>
        <v>41200</v>
      </c>
      <c r="F66" s="352">
        <f>-'C3Q'!E64</f>
        <v>3433.33</v>
      </c>
      <c r="G66" s="352">
        <f>-'C3Q'!F64</f>
        <v>34333.300000000003</v>
      </c>
      <c r="H66" s="352">
        <f>-'C3Q'!G64</f>
        <v>34333.33</v>
      </c>
      <c r="I66" s="34">
        <f t="shared" si="1"/>
        <v>-2.9999999998835847E-2</v>
      </c>
      <c r="J66" s="351">
        <f t="shared" si="7"/>
        <v>-8.7378649256672288E-7</v>
      </c>
      <c r="K66" s="708">
        <f>-'C3Q'!J64</f>
        <v>41200</v>
      </c>
      <c r="L66" s="353"/>
      <c r="M66" s="354"/>
      <c r="N66" s="354"/>
      <c r="O66" s="354"/>
      <c r="P66" s="354"/>
      <c r="Q66" s="354"/>
      <c r="R66" s="354"/>
      <c r="S66" s="354"/>
      <c r="T66" s="354"/>
      <c r="U66" s="354"/>
      <c r="V66" s="354"/>
      <c r="W66" s="354"/>
    </row>
    <row r="67" spans="1:23" ht="11.25" customHeight="1" x14ac:dyDescent="0.25">
      <c r="A67" s="30" t="str">
        <f>'Org structure'!E99</f>
        <v>9,3 - FX002001001004 - Electricity Distribution (Energy Sources) - AL</v>
      </c>
      <c r="B67" s="197"/>
      <c r="C67" s="708">
        <f>-'C3Q'!B65</f>
        <v>2106438891.6199999</v>
      </c>
      <c r="D67" s="703">
        <f>-'C3Q'!C65</f>
        <v>2620250500</v>
      </c>
      <c r="E67" s="352">
        <f>-'C3Q'!D65</f>
        <v>2433698300</v>
      </c>
      <c r="F67" s="352">
        <f>-'C3Q'!E65</f>
        <v>197077546.72</v>
      </c>
      <c r="G67" s="352">
        <f>-'C3Q'!F65</f>
        <v>2007231822.1500001</v>
      </c>
      <c r="H67" s="352">
        <f>-'C3Q'!G65</f>
        <v>1960196324.1800001</v>
      </c>
      <c r="I67" s="34">
        <f t="shared" si="1"/>
        <v>47035497.970000029</v>
      </c>
      <c r="J67" s="351">
        <f t="shared" si="7"/>
        <v>2.3995299547190086E-2</v>
      </c>
      <c r="K67" s="708">
        <f>-'C3Q'!J65</f>
        <v>2433698300</v>
      </c>
      <c r="L67" s="353"/>
      <c r="M67" s="354"/>
      <c r="N67" s="354"/>
      <c r="O67" s="354"/>
      <c r="P67" s="354"/>
      <c r="Q67" s="354"/>
      <c r="R67" s="354"/>
      <c r="S67" s="354"/>
      <c r="T67" s="354"/>
      <c r="U67" s="354"/>
      <c r="V67" s="354"/>
      <c r="W67" s="354"/>
    </row>
    <row r="68" spans="1:23" ht="11.25" customHeight="1" x14ac:dyDescent="0.25">
      <c r="A68" s="30" t="str">
        <f>'Org structure'!E100</f>
        <v>9,4 - FX002001001005 - Electricity Planning (Energy Sources) - AN</v>
      </c>
      <c r="B68" s="197"/>
      <c r="C68" s="708">
        <f>-'C3Q'!B66</f>
        <v>465091.7</v>
      </c>
      <c r="D68" s="703">
        <f>-'C3Q'!C66</f>
        <v>263000</v>
      </c>
      <c r="E68" s="352">
        <f>-'C3Q'!D66</f>
        <v>263200</v>
      </c>
      <c r="F68" s="352">
        <f>-'C3Q'!E66</f>
        <v>14783.34</v>
      </c>
      <c r="G68" s="352">
        <f>-'C3Q'!F66</f>
        <v>147848.85999999999</v>
      </c>
      <c r="H68" s="352">
        <f>-'C3Q'!G66</f>
        <v>147934.54</v>
      </c>
      <c r="I68" s="34">
        <f t="shared" si="1"/>
        <v>-85.680000000022119</v>
      </c>
      <c r="J68" s="351">
        <f t="shared" si="7"/>
        <v>-5.7917508649448673E-4</v>
      </c>
      <c r="K68" s="708">
        <f>-'C3Q'!J66</f>
        <v>263200</v>
      </c>
      <c r="L68" s="353"/>
      <c r="M68" s="354"/>
      <c r="N68" s="354"/>
      <c r="O68" s="354"/>
      <c r="P68" s="354"/>
      <c r="Q68" s="354"/>
      <c r="R68" s="354"/>
      <c r="S68" s="354"/>
      <c r="T68" s="354"/>
      <c r="U68" s="354"/>
      <c r="V68" s="354"/>
      <c r="W68" s="354"/>
    </row>
    <row r="69" spans="1:23" ht="11.25" customHeight="1" x14ac:dyDescent="0.25">
      <c r="A69" s="30" t="str">
        <f>'Org structure'!E101</f>
        <v>9,5 - FX002001002001 - Street Lighting (Energy Sources) - AP</v>
      </c>
      <c r="B69" s="197"/>
      <c r="C69" s="708">
        <f>-'C3Q'!B67</f>
        <v>5079789.8899999997</v>
      </c>
      <c r="D69" s="703">
        <f>-'C3Q'!C67</f>
        <v>5125900</v>
      </c>
      <c r="E69" s="352">
        <f>-'C3Q'!D67</f>
        <v>5126000</v>
      </c>
      <c r="F69" s="352">
        <f>-'C3Q'!E67</f>
        <v>32975</v>
      </c>
      <c r="G69" s="352">
        <f>-'C3Q'!F67</f>
        <v>1019130</v>
      </c>
      <c r="H69" s="352">
        <f>-'C3Q'!G67</f>
        <v>589792.87</v>
      </c>
      <c r="I69" s="34">
        <f t="shared" si="1"/>
        <v>429337.13</v>
      </c>
      <c r="J69" s="351">
        <f t="shared" si="7"/>
        <v>0.72794560910849937</v>
      </c>
      <c r="K69" s="708">
        <f>-'C3Q'!J67</f>
        <v>5126000</v>
      </c>
      <c r="L69" s="353"/>
      <c r="M69" s="354"/>
      <c r="N69" s="354"/>
      <c r="O69" s="354"/>
      <c r="P69" s="354"/>
      <c r="Q69" s="354"/>
      <c r="R69" s="354"/>
      <c r="S69" s="354"/>
      <c r="T69" s="354"/>
      <c r="U69" s="354"/>
      <c r="V69" s="354"/>
      <c r="W69" s="354"/>
    </row>
    <row r="70" spans="1:23" ht="11.25" customHeight="1" x14ac:dyDescent="0.25">
      <c r="A70" s="30" t="str">
        <f>'Org structure'!E102</f>
        <v>9,6 - FX002001002002 - Process Control Systems (Energy Sources) - AQ</v>
      </c>
      <c r="B70" s="197"/>
      <c r="C70" s="708">
        <f>-'C3Q'!B68</f>
        <v>174988.47</v>
      </c>
      <c r="D70" s="703">
        <f>-'C3Q'!C68</f>
        <v>103900</v>
      </c>
      <c r="E70" s="352">
        <f>-'C3Q'!D68</f>
        <v>103900</v>
      </c>
      <c r="F70" s="352">
        <f>-'C3Q'!E68</f>
        <v>6825</v>
      </c>
      <c r="G70" s="352">
        <f>-'C3Q'!F68</f>
        <v>68250</v>
      </c>
      <c r="H70" s="352">
        <f>-'C3Q'!G68</f>
        <v>68250</v>
      </c>
      <c r="I70" s="34">
        <f t="shared" ref="I70:I113" si="13">G70-H70</f>
        <v>0</v>
      </c>
      <c r="J70" s="351">
        <f t="shared" si="7"/>
        <v>0</v>
      </c>
      <c r="K70" s="708">
        <f>-'C3Q'!J68</f>
        <v>103900</v>
      </c>
      <c r="L70" s="353"/>
      <c r="M70" s="354"/>
      <c r="N70" s="354"/>
      <c r="O70" s="354"/>
      <c r="P70" s="354"/>
      <c r="Q70" s="354"/>
      <c r="R70" s="354"/>
      <c r="S70" s="354"/>
      <c r="T70" s="354"/>
      <c r="U70" s="354"/>
      <c r="V70" s="354"/>
      <c r="W70" s="354"/>
    </row>
    <row r="71" spans="1:23" ht="11.25" customHeight="1" x14ac:dyDescent="0.25">
      <c r="A71" s="30" t="str">
        <f>'Org structure'!E103</f>
        <v>9,7 - FX005001005 - Fleet Management (Finance and Administration) - BF</v>
      </c>
      <c r="B71" s="197"/>
      <c r="C71" s="708">
        <f>-'C3Q'!B69</f>
        <v>2952174.83</v>
      </c>
      <c r="D71" s="703">
        <f>-'C3Q'!C69</f>
        <v>3215000</v>
      </c>
      <c r="E71" s="352">
        <f>-'C3Q'!D69</f>
        <v>3215000</v>
      </c>
      <c r="F71" s="352">
        <f>-'C3Q'!E69</f>
        <v>32983.33</v>
      </c>
      <c r="G71" s="352">
        <f>-'C3Q'!F69</f>
        <v>2194273.7999999998</v>
      </c>
      <c r="H71" s="352">
        <f>-'C3Q'!G69</f>
        <v>329833.33</v>
      </c>
      <c r="I71" s="34">
        <f t="shared" si="13"/>
        <v>1864440.4699999997</v>
      </c>
      <c r="J71" s="351">
        <f t="shared" si="7"/>
        <v>5.6526745492943347</v>
      </c>
      <c r="K71" s="708">
        <f>-'C3Q'!J69</f>
        <v>3215000</v>
      </c>
      <c r="L71" s="353"/>
      <c r="M71" s="354"/>
      <c r="N71" s="354"/>
      <c r="O71" s="354"/>
      <c r="P71" s="354"/>
      <c r="Q71" s="354"/>
      <c r="R71" s="354"/>
      <c r="S71" s="354"/>
      <c r="T71" s="354"/>
      <c r="U71" s="354"/>
      <c r="V71" s="354"/>
      <c r="W71" s="354"/>
    </row>
    <row r="72" spans="1:23" ht="11.25" customHeight="1" x14ac:dyDescent="0.25">
      <c r="A72" s="66" t="str">
        <f>'Org structure'!A11</f>
        <v>Vote 10 - INFRASTRUCTURE SERVICES - INFRASTRUCTURE AND FACILITIES MANAGEMENT SERVICES</v>
      </c>
      <c r="B72" s="197"/>
      <c r="C72" s="707">
        <f t="shared" ref="C72:H72" si="14">SUM(C73:C74)</f>
        <v>973988.97</v>
      </c>
      <c r="D72" s="723">
        <f t="shared" si="14"/>
        <v>511100</v>
      </c>
      <c r="E72" s="349">
        <f t="shared" si="14"/>
        <v>511200</v>
      </c>
      <c r="F72" s="350">
        <f t="shared" si="14"/>
        <v>40667.520000000004</v>
      </c>
      <c r="G72" s="349">
        <f t="shared" si="14"/>
        <v>404878.22</v>
      </c>
      <c r="H72" s="350">
        <f t="shared" si="14"/>
        <v>407693.52</v>
      </c>
      <c r="I72" s="34">
        <f t="shared" si="13"/>
        <v>-2815.3000000000466</v>
      </c>
      <c r="J72" s="351">
        <f t="shared" si="7"/>
        <v>-6.9054322962995495E-3</v>
      </c>
      <c r="K72" s="707">
        <f>SUM(K73:K74)</f>
        <v>511200</v>
      </c>
      <c r="L72" s="353"/>
      <c r="M72" s="354"/>
      <c r="N72" s="354"/>
      <c r="O72" s="354"/>
      <c r="P72" s="354"/>
      <c r="Q72" s="354"/>
      <c r="R72" s="354"/>
      <c r="S72" s="354"/>
      <c r="T72" s="354"/>
      <c r="U72" s="354"/>
      <c r="V72" s="354"/>
      <c r="W72" s="354"/>
    </row>
    <row r="73" spans="1:23" ht="11.25" customHeight="1" x14ac:dyDescent="0.25">
      <c r="A73" s="30" t="str">
        <f>'Org structure'!E108</f>
        <v>10.1 - FX001001005001 - Buildings Maintenance (Community and Social Services) - AB</v>
      </c>
      <c r="B73" s="197"/>
      <c r="C73" s="708">
        <f>-'C3Q'!B71</f>
        <v>546609.67000000004</v>
      </c>
      <c r="D73" s="703">
        <f>-'C3Q'!C71</f>
        <v>286600</v>
      </c>
      <c r="E73" s="352">
        <f>-'C3Q'!D71</f>
        <v>286600</v>
      </c>
      <c r="F73" s="352">
        <f>-'C3Q'!E71</f>
        <v>23883.33</v>
      </c>
      <c r="G73" s="352">
        <f>-'C3Q'!F71</f>
        <v>238833.3</v>
      </c>
      <c r="H73" s="352">
        <f>-'C3Q'!G71</f>
        <v>238833.33</v>
      </c>
      <c r="I73" s="34">
        <f t="shared" si="13"/>
        <v>-2.9999999998835847E-2</v>
      </c>
      <c r="J73" s="351">
        <f t="shared" si="7"/>
        <v>-1.2561060886617394E-7</v>
      </c>
      <c r="K73" s="708">
        <f>-'C3Q'!J71</f>
        <v>286600</v>
      </c>
      <c r="L73" s="353"/>
      <c r="M73" s="354"/>
      <c r="N73" s="354"/>
      <c r="O73" s="354"/>
      <c r="P73" s="354"/>
      <c r="Q73" s="354"/>
      <c r="R73" s="354"/>
      <c r="S73" s="354"/>
      <c r="T73" s="354"/>
      <c r="U73" s="354"/>
      <c r="V73" s="354"/>
      <c r="W73" s="354"/>
    </row>
    <row r="74" spans="1:23" ht="11.25" customHeight="1" x14ac:dyDescent="0.25">
      <c r="A74" s="30" t="str">
        <f>'Org structure'!E109</f>
        <v>10.2 - FX010001007002 - Project Management Unit - Asset Management (Planning and Development) - CF</v>
      </c>
      <c r="B74" s="197"/>
      <c r="C74" s="708">
        <f>-'C3Q'!B72</f>
        <v>427379.3</v>
      </c>
      <c r="D74" s="703">
        <f>-'C3Q'!C72</f>
        <v>224500</v>
      </c>
      <c r="E74" s="352">
        <f>-'C3Q'!D72</f>
        <v>224600</v>
      </c>
      <c r="F74" s="352">
        <f>-'C3Q'!E72</f>
        <v>16784.189999999999</v>
      </c>
      <c r="G74" s="352">
        <f>-'C3Q'!F72</f>
        <v>166044.92000000001</v>
      </c>
      <c r="H74" s="352">
        <f>-'C3Q'!G72</f>
        <v>168860.19</v>
      </c>
      <c r="I74" s="34">
        <f t="shared" si="13"/>
        <v>-2815.2699999999895</v>
      </c>
      <c r="J74" s="351">
        <f t="shared" si="7"/>
        <v>-1.6672194908699259E-2</v>
      </c>
      <c r="K74" s="708">
        <f>-'C3Q'!J72</f>
        <v>224600</v>
      </c>
      <c r="L74" s="353"/>
      <c r="M74" s="354"/>
      <c r="N74" s="354"/>
      <c r="O74" s="354"/>
      <c r="P74" s="354"/>
      <c r="Q74" s="354"/>
      <c r="R74" s="354"/>
      <c r="S74" s="354"/>
      <c r="T74" s="354"/>
      <c r="U74" s="354"/>
      <c r="V74" s="354"/>
      <c r="W74" s="354"/>
    </row>
    <row r="75" spans="1:23" ht="11.25" customHeight="1" x14ac:dyDescent="0.25">
      <c r="A75" s="355" t="str">
        <f>'Org structure'!A12</f>
        <v>Vote 11 - INFRASTRUCTURE SERVICES - CIVIL ENGINEERING SERVICES</v>
      </c>
      <c r="B75" s="197"/>
      <c r="C75" s="707">
        <f>SUM(C76:C88)</f>
        <v>1640351979.1300001</v>
      </c>
      <c r="D75" s="350">
        <f t="shared" ref="D75:K75" si="15">SUM(D76:D88)</f>
        <v>1706717000</v>
      </c>
      <c r="E75" s="348">
        <f t="shared" si="15"/>
        <v>1616827700</v>
      </c>
      <c r="F75" s="348">
        <f t="shared" si="15"/>
        <v>73425907.349999994</v>
      </c>
      <c r="G75" s="348">
        <f t="shared" si="15"/>
        <v>1327757460.0899999</v>
      </c>
      <c r="H75" s="348">
        <f t="shared" si="15"/>
        <v>1379266871.8899999</v>
      </c>
      <c r="I75" s="34">
        <f t="shared" si="13"/>
        <v>-51509411.799999952</v>
      </c>
      <c r="J75" s="351">
        <f t="shared" si="7"/>
        <v>-3.734550060599727E-2</v>
      </c>
      <c r="K75" s="707">
        <f t="shared" si="15"/>
        <v>1616827700</v>
      </c>
      <c r="L75" s="353"/>
      <c r="M75" s="354"/>
      <c r="N75" s="354"/>
      <c r="O75" s="354"/>
      <c r="P75" s="354"/>
      <c r="Q75" s="354"/>
      <c r="R75" s="354"/>
      <c r="S75" s="354"/>
      <c r="T75" s="354"/>
      <c r="U75" s="354"/>
      <c r="V75" s="354"/>
      <c r="W75" s="354"/>
    </row>
    <row r="76" spans="1:23" ht="11.25" customHeight="1" x14ac:dyDescent="0.25">
      <c r="A76" s="356" t="str">
        <f>'Org structure'!E119</f>
        <v>11.1 - FX012001004001 - Roads - Railway Sidings (Road Transport) - CM</v>
      </c>
      <c r="B76" s="197"/>
      <c r="C76" s="708">
        <f>-'C3Q'!B74</f>
        <v>723219.19</v>
      </c>
      <c r="D76" s="703">
        <f>-'C3Q'!C74</f>
        <v>452500</v>
      </c>
      <c r="E76" s="352">
        <f>-'C3Q'!D74</f>
        <v>452500</v>
      </c>
      <c r="F76" s="352">
        <f>-'C3Q'!E74</f>
        <v>0</v>
      </c>
      <c r="G76" s="352">
        <f>-'C3Q'!F74</f>
        <v>0</v>
      </c>
      <c r="H76" s="352">
        <f>-'C3Q'!G74</f>
        <v>0</v>
      </c>
      <c r="I76" s="34">
        <f t="shared" si="13"/>
        <v>0</v>
      </c>
      <c r="J76" s="351" t="str">
        <f t="shared" si="7"/>
        <v/>
      </c>
      <c r="K76" s="708">
        <f>-'C3Q'!J74</f>
        <v>452500</v>
      </c>
      <c r="L76" s="353"/>
      <c r="M76" s="354"/>
      <c r="N76" s="354"/>
      <c r="O76" s="354"/>
      <c r="P76" s="354"/>
      <c r="Q76" s="354"/>
      <c r="R76" s="354"/>
      <c r="S76" s="354"/>
      <c r="T76" s="354"/>
      <c r="U76" s="354"/>
      <c r="V76" s="354"/>
      <c r="W76" s="354"/>
    </row>
    <row r="77" spans="1:23" ht="11.25" customHeight="1" x14ac:dyDescent="0.25">
      <c r="A77" s="356" t="str">
        <f>'Org structure'!E120</f>
        <v>11.2 - FX012001004002 - Roads - Urban Roads (Road Transport) - CN</v>
      </c>
      <c r="B77" s="197"/>
      <c r="C77" s="708">
        <f>-'C3Q'!B75</f>
        <v>48229805.060000002</v>
      </c>
      <c r="D77" s="703">
        <f>-'C3Q'!C75</f>
        <v>11323800</v>
      </c>
      <c r="E77" s="352">
        <f>-'C3Q'!D75</f>
        <v>23491500</v>
      </c>
      <c r="F77" s="352">
        <f>-'C3Q'!E75</f>
        <v>-273650.40999999997</v>
      </c>
      <c r="G77" s="352">
        <f>-'C3Q'!F75</f>
        <v>25366328.219999999</v>
      </c>
      <c r="H77" s="352">
        <f>-'C3Q'!G75</f>
        <v>29225071.5</v>
      </c>
      <c r="I77" s="34">
        <f t="shared" si="13"/>
        <v>-3858743.2800000012</v>
      </c>
      <c r="J77" s="351">
        <f t="shared" si="7"/>
        <v>-0.13203537517436018</v>
      </c>
      <c r="K77" s="708">
        <f>-'C3Q'!J75</f>
        <v>23491500</v>
      </c>
      <c r="L77" s="353"/>
      <c r="M77" s="354"/>
      <c r="N77" s="354"/>
      <c r="O77" s="354"/>
      <c r="P77" s="354"/>
      <c r="Q77" s="354"/>
      <c r="R77" s="354"/>
      <c r="S77" s="354"/>
      <c r="T77" s="354"/>
      <c r="U77" s="354"/>
      <c r="V77" s="354"/>
      <c r="W77" s="354"/>
    </row>
    <row r="78" spans="1:23" ht="11.25" customHeight="1" x14ac:dyDescent="0.25">
      <c r="A78" s="356" t="str">
        <f>'Org structure'!E121</f>
        <v>11.3 - FX012001004003 - Roads - Rural Roads (Road Transport) - CO</v>
      </c>
      <c r="B78" s="197"/>
      <c r="C78" s="708">
        <f>-'C3Q'!B76</f>
        <v>7311654.7999999998</v>
      </c>
      <c r="D78" s="703">
        <f>-'C3Q'!C76</f>
        <v>18958500</v>
      </c>
      <c r="E78" s="352">
        <f>-'C3Q'!D76</f>
        <v>6453500</v>
      </c>
      <c r="F78" s="352">
        <f>-'C3Q'!E76</f>
        <v>121125</v>
      </c>
      <c r="G78" s="352">
        <f>-'C3Q'!F76</f>
        <v>7255643.0999999996</v>
      </c>
      <c r="H78" s="352">
        <f>-'C3Q'!G76</f>
        <v>1211250</v>
      </c>
      <c r="I78" s="34">
        <f t="shared" si="13"/>
        <v>6044393.0999999996</v>
      </c>
      <c r="J78" s="351">
        <f t="shared" si="7"/>
        <v>4.9902110216718265</v>
      </c>
      <c r="K78" s="708">
        <f>-'C3Q'!J76</f>
        <v>6453500</v>
      </c>
      <c r="L78" s="353"/>
      <c r="M78" s="354"/>
      <c r="N78" s="354"/>
      <c r="O78" s="354"/>
      <c r="P78" s="354"/>
      <c r="Q78" s="354"/>
      <c r="R78" s="354"/>
      <c r="S78" s="354"/>
      <c r="T78" s="354"/>
      <c r="U78" s="354"/>
      <c r="V78" s="354"/>
      <c r="W78" s="354"/>
    </row>
    <row r="79" spans="1:23" ht="11.25" customHeight="1" x14ac:dyDescent="0.25">
      <c r="A79" s="356" t="str">
        <f>'Org structure'!E122</f>
        <v>11.4 - FX015001003 - Storm Water Management (Waste Water Management) - DJ</v>
      </c>
      <c r="B79" s="197"/>
      <c r="C79" s="708">
        <f>-'C3Q'!B77</f>
        <v>29414.74</v>
      </c>
      <c r="D79" s="703">
        <f>-'C3Q'!C77</f>
        <v>484500</v>
      </c>
      <c r="E79" s="352">
        <f>-'C3Q'!D77</f>
        <v>7754500</v>
      </c>
      <c r="F79" s="352">
        <f>-'C3Q'!E77</f>
        <v>4179185.92</v>
      </c>
      <c r="G79" s="352">
        <f>-'C3Q'!F77</f>
        <v>8667314.0399999991</v>
      </c>
      <c r="H79" s="352">
        <f>-'C3Q'!G77</f>
        <v>3447390.52</v>
      </c>
      <c r="I79" s="34">
        <f t="shared" si="13"/>
        <v>5219923.5199999996</v>
      </c>
      <c r="J79" s="351">
        <f t="shared" si="7"/>
        <v>1.5141665818585588</v>
      </c>
      <c r="K79" s="708">
        <f>-'C3Q'!J77</f>
        <v>7754500</v>
      </c>
      <c r="L79" s="353"/>
      <c r="M79" s="354"/>
      <c r="N79" s="354"/>
      <c r="O79" s="354"/>
      <c r="P79" s="354"/>
      <c r="Q79" s="354"/>
      <c r="R79" s="354"/>
      <c r="S79" s="354"/>
      <c r="T79" s="354"/>
      <c r="U79" s="354"/>
      <c r="V79" s="354"/>
      <c r="W79" s="354"/>
    </row>
    <row r="80" spans="1:23" ht="11.25" customHeight="1" x14ac:dyDescent="0.25">
      <c r="A80" s="356" t="str">
        <f>'Org structure'!E123</f>
        <v>11.5 - FX003001002 - Coastal Protection (Environmental Protection) - DU</v>
      </c>
      <c r="B80" s="197"/>
      <c r="C80" s="708">
        <f>-'C3Q'!B78</f>
        <v>0</v>
      </c>
      <c r="D80" s="703">
        <f>-'C3Q'!C78</f>
        <v>0</v>
      </c>
      <c r="E80" s="352">
        <f>-'C3Q'!D78</f>
        <v>0</v>
      </c>
      <c r="F80" s="352">
        <f>-'C3Q'!E78</f>
        <v>0</v>
      </c>
      <c r="G80" s="352">
        <f>-'C3Q'!F78</f>
        <v>0</v>
      </c>
      <c r="H80" s="352">
        <f>-'C3Q'!G78</f>
        <v>0</v>
      </c>
      <c r="I80" s="34">
        <f t="shared" si="13"/>
        <v>0</v>
      </c>
      <c r="J80" s="351" t="str">
        <f t="shared" si="7"/>
        <v/>
      </c>
      <c r="K80" s="708">
        <f>-'C3Q'!J78</f>
        <v>0</v>
      </c>
      <c r="L80" s="353"/>
      <c r="M80" s="354"/>
      <c r="N80" s="354"/>
      <c r="O80" s="354"/>
      <c r="P80" s="354"/>
      <c r="Q80" s="354"/>
      <c r="R80" s="354"/>
      <c r="S80" s="354"/>
      <c r="T80" s="354"/>
      <c r="U80" s="354"/>
      <c r="V80" s="354"/>
      <c r="W80" s="354"/>
    </row>
    <row r="81" spans="1:23" ht="11.25" customHeight="1" x14ac:dyDescent="0.25">
      <c r="A81" s="356" t="str">
        <f>'Org structure'!E124</f>
        <v>11.6 - FX015001002001 - Sewerage - Industrial Effluent Pipeline (Waste Water Management) - DG</v>
      </c>
      <c r="B81" s="197"/>
      <c r="C81" s="708">
        <f>-'C3Q'!B79</f>
        <v>2470585.46</v>
      </c>
      <c r="D81" s="703">
        <f>-'C3Q'!C79</f>
        <v>1274500</v>
      </c>
      <c r="E81" s="352">
        <f>-'C3Q'!D79</f>
        <v>2099500</v>
      </c>
      <c r="F81" s="352">
        <f>-'C3Q'!E79</f>
        <v>176470.39</v>
      </c>
      <c r="G81" s="352">
        <f>-'C3Q'!F79</f>
        <v>1764703.9</v>
      </c>
      <c r="H81" s="352">
        <f>-'C3Q'!G79</f>
        <v>1460292.73</v>
      </c>
      <c r="I81" s="34">
        <f t="shared" si="13"/>
        <v>304411.16999999993</v>
      </c>
      <c r="J81" s="351">
        <f t="shared" si="7"/>
        <v>0.20845900533929243</v>
      </c>
      <c r="K81" s="708">
        <f>-'C3Q'!J79</f>
        <v>2099500</v>
      </c>
      <c r="L81" s="353"/>
      <c r="M81" s="354"/>
      <c r="N81" s="354"/>
      <c r="O81" s="354"/>
      <c r="P81" s="354"/>
      <c r="Q81" s="354"/>
      <c r="R81" s="354"/>
      <c r="S81" s="354"/>
      <c r="T81" s="354"/>
      <c r="U81" s="354"/>
      <c r="V81" s="354"/>
      <c r="W81" s="354"/>
    </row>
    <row r="82" spans="1:23" ht="11.25" customHeight="1" x14ac:dyDescent="0.25">
      <c r="A82" s="356" t="str">
        <f>'Org structure'!E125</f>
        <v>11.7 - FX015001002002 - Sewerage - Pumpstations (Waste Water Management) - DH</v>
      </c>
      <c r="B82" s="197"/>
      <c r="C82" s="708">
        <f>-'C3Q'!B80</f>
        <v>751341.44</v>
      </c>
      <c r="D82" s="703">
        <f>-'C3Q'!C80</f>
        <v>519100</v>
      </c>
      <c r="E82" s="352">
        <f>-'C3Q'!D80</f>
        <v>519100</v>
      </c>
      <c r="F82" s="352">
        <f>-'C3Q'!E80</f>
        <v>38900</v>
      </c>
      <c r="G82" s="352">
        <f>-'C3Q'!F80</f>
        <v>389029.78</v>
      </c>
      <c r="H82" s="352">
        <f>-'C3Q'!G80</f>
        <v>389029.78</v>
      </c>
      <c r="I82" s="34">
        <f t="shared" si="13"/>
        <v>0</v>
      </c>
      <c r="J82" s="351">
        <f t="shared" si="7"/>
        <v>0</v>
      </c>
      <c r="K82" s="708">
        <f>-'C3Q'!J80</f>
        <v>519100</v>
      </c>
      <c r="L82" s="353"/>
      <c r="M82" s="354"/>
      <c r="N82" s="354"/>
      <c r="O82" s="354"/>
      <c r="P82" s="354"/>
      <c r="Q82" s="354"/>
      <c r="R82" s="354"/>
      <c r="S82" s="354"/>
      <c r="T82" s="354"/>
      <c r="U82" s="354"/>
      <c r="V82" s="354"/>
      <c r="W82" s="354"/>
    </row>
    <row r="83" spans="1:23" ht="11.25" customHeight="1" x14ac:dyDescent="0.25">
      <c r="A83" s="356" t="str">
        <f>'Org structure'!E126</f>
        <v>11.8 - FX015001002003 - Sewerage - Sewerage Network (Waste Water Management) - DI</v>
      </c>
      <c r="B83" s="197"/>
      <c r="C83" s="708">
        <f>-'C3Q'!B81</f>
        <v>267193687.75</v>
      </c>
      <c r="D83" s="703">
        <f>-'C3Q'!C81</f>
        <v>290145700</v>
      </c>
      <c r="E83" s="352">
        <f>-'C3Q'!D81</f>
        <v>252921800</v>
      </c>
      <c r="F83" s="352">
        <f>-'C3Q'!E81</f>
        <v>11953740.119999999</v>
      </c>
      <c r="G83" s="352">
        <f>-'C3Q'!F81</f>
        <v>232718314.38999999</v>
      </c>
      <c r="H83" s="352">
        <f>-'C3Q'!G81</f>
        <v>237249484.30000001</v>
      </c>
      <c r="I83" s="34">
        <f t="shared" si="13"/>
        <v>-4531169.9100000262</v>
      </c>
      <c r="J83" s="351">
        <f t="shared" si="7"/>
        <v>-1.9098755571035929E-2</v>
      </c>
      <c r="K83" s="708">
        <f>-'C3Q'!J81</f>
        <v>252921800</v>
      </c>
      <c r="L83" s="353"/>
      <c r="M83" s="354"/>
      <c r="N83" s="354"/>
      <c r="O83" s="354"/>
      <c r="P83" s="354"/>
      <c r="Q83" s="354"/>
      <c r="R83" s="354"/>
      <c r="S83" s="354"/>
      <c r="T83" s="354"/>
      <c r="U83" s="354"/>
      <c r="V83" s="354"/>
      <c r="W83" s="354"/>
    </row>
    <row r="84" spans="1:23" ht="11.25" customHeight="1" x14ac:dyDescent="0.25">
      <c r="A84" s="356" t="str">
        <f>'Org structure'!E127</f>
        <v>11.9 - FX015001004 - Treatment (Waste Water Management) - DK</v>
      </c>
      <c r="B84" s="197"/>
      <c r="C84" s="708">
        <f>-'C3Q'!B82</f>
        <v>759076.45</v>
      </c>
      <c r="D84" s="703">
        <f>-'C3Q'!C82</f>
        <v>371000</v>
      </c>
      <c r="E84" s="352">
        <f>-'C3Q'!D82</f>
        <v>371000</v>
      </c>
      <c r="F84" s="352">
        <f>-'C3Q'!E82</f>
        <v>30917.41</v>
      </c>
      <c r="G84" s="352">
        <f>-'C3Q'!F82</f>
        <v>309185.28000000003</v>
      </c>
      <c r="H84" s="352">
        <f>-'C3Q'!G82</f>
        <v>309170.67</v>
      </c>
      <c r="I84" s="34">
        <f t="shared" si="13"/>
        <v>14.610000000044238</v>
      </c>
      <c r="J84" s="351">
        <f t="shared" si="7"/>
        <v>4.7255452789374355E-5</v>
      </c>
      <c r="K84" s="708">
        <f>-'C3Q'!J82</f>
        <v>371000</v>
      </c>
      <c r="L84" s="353"/>
      <c r="M84" s="354"/>
      <c r="N84" s="354"/>
      <c r="O84" s="354"/>
      <c r="P84" s="354"/>
      <c r="Q84" s="354"/>
      <c r="R84" s="354"/>
      <c r="S84" s="354"/>
      <c r="T84" s="354"/>
      <c r="U84" s="354"/>
      <c r="V84" s="354"/>
      <c r="W84" s="354"/>
    </row>
    <row r="85" spans="1:23" ht="11.25" customHeight="1" x14ac:dyDescent="0.25">
      <c r="A85" s="356" t="str">
        <f>'Org structure'!E128</f>
        <v>11.10 - FX016001002004 - Water Distribution (Clarified Water) - DP</v>
      </c>
      <c r="B85" s="197"/>
      <c r="C85" s="708">
        <f>-'C3Q'!B83</f>
        <v>37559707.729999997</v>
      </c>
      <c r="D85" s="703">
        <f>-'C3Q'!C83</f>
        <v>41884300</v>
      </c>
      <c r="E85" s="352">
        <f>-'C3Q'!D83</f>
        <v>34384300</v>
      </c>
      <c r="F85" s="352">
        <f>-'C3Q'!E83</f>
        <v>3906808.87</v>
      </c>
      <c r="G85" s="352">
        <f>-'C3Q'!F83</f>
        <v>30032391.850000001</v>
      </c>
      <c r="H85" s="352">
        <f>-'C3Q'!G83</f>
        <v>30260251.27</v>
      </c>
      <c r="I85" s="34">
        <f t="shared" si="13"/>
        <v>-227859.41999999806</v>
      </c>
      <c r="J85" s="351">
        <f t="shared" si="7"/>
        <v>-7.529991009225287E-3</v>
      </c>
      <c r="K85" s="708">
        <f>-'C3Q'!J83</f>
        <v>34384300</v>
      </c>
      <c r="L85" s="353"/>
      <c r="M85" s="354"/>
      <c r="N85" s="354"/>
      <c r="O85" s="354"/>
      <c r="P85" s="354"/>
      <c r="Q85" s="354"/>
      <c r="R85" s="354"/>
      <c r="S85" s="354"/>
      <c r="T85" s="354"/>
      <c r="U85" s="354"/>
      <c r="V85" s="354"/>
      <c r="W85" s="354"/>
    </row>
    <row r="86" spans="1:23" ht="11.25" customHeight="1" x14ac:dyDescent="0.25">
      <c r="A86" s="356" t="str">
        <f>'Org structure'!E129</f>
        <v>11.11 - FX016001002005 - Water Distibution (Purification Works) - DQ</v>
      </c>
      <c r="B86" s="197"/>
      <c r="C86" s="708">
        <f>-'C3Q'!B84</f>
        <v>551673158.07000005</v>
      </c>
      <c r="D86" s="703">
        <f>-'C3Q'!C84</f>
        <v>575085200</v>
      </c>
      <c r="E86" s="352">
        <f>-'C3Q'!D84</f>
        <v>575085200</v>
      </c>
      <c r="F86" s="352">
        <f>-'C3Q'!E84</f>
        <v>32380402.510000002</v>
      </c>
      <c r="G86" s="352">
        <f>-'C3Q'!F84</f>
        <v>464517091.72000003</v>
      </c>
      <c r="H86" s="352">
        <f>-'C3Q'!G84</f>
        <v>466645219.01999998</v>
      </c>
      <c r="I86" s="34">
        <f t="shared" si="13"/>
        <v>-2128127.2999999523</v>
      </c>
      <c r="J86" s="351">
        <f t="shared" si="7"/>
        <v>-4.5604823820315256E-3</v>
      </c>
      <c r="K86" s="708">
        <f>-'C3Q'!J84</f>
        <v>575085200</v>
      </c>
      <c r="L86" s="353"/>
      <c r="M86" s="354"/>
      <c r="N86" s="354"/>
      <c r="O86" s="354"/>
      <c r="P86" s="354"/>
      <c r="Q86" s="354"/>
      <c r="R86" s="354"/>
      <c r="S86" s="354"/>
      <c r="T86" s="354"/>
      <c r="U86" s="354"/>
      <c r="V86" s="354"/>
      <c r="W86" s="354"/>
    </row>
    <row r="87" spans="1:23" ht="11.25" customHeight="1" x14ac:dyDescent="0.25">
      <c r="A87" s="356" t="str">
        <f>'Org structure'!E130</f>
        <v>11.12 - FX016001002001 - Water Distribution - Rural Water (Water Management) - DM</v>
      </c>
      <c r="B87" s="197"/>
      <c r="C87" s="708">
        <f>-'C3Q'!B85</f>
        <v>25102505.170000002</v>
      </c>
      <c r="D87" s="703">
        <f>-'C3Q'!C85</f>
        <v>40130000</v>
      </c>
      <c r="E87" s="352">
        <f>-'C3Q'!D85</f>
        <v>17223600</v>
      </c>
      <c r="F87" s="352">
        <f>-'C3Q'!E85</f>
        <v>-1337041.56</v>
      </c>
      <c r="G87" s="352">
        <f>-'C3Q'!F85</f>
        <v>17222271.920000002</v>
      </c>
      <c r="H87" s="352">
        <f>-'C3Q'!G85</f>
        <v>18618606.350000001</v>
      </c>
      <c r="I87" s="34">
        <f t="shared" si="13"/>
        <v>-1396334.4299999997</v>
      </c>
      <c r="J87" s="351">
        <f t="shared" si="7"/>
        <v>-7.4996721223444293E-2</v>
      </c>
      <c r="K87" s="708">
        <f>-'C3Q'!J85</f>
        <v>17223600</v>
      </c>
      <c r="L87" s="353"/>
      <c r="M87" s="354"/>
      <c r="N87" s="354"/>
      <c r="O87" s="354"/>
      <c r="P87" s="354"/>
      <c r="Q87" s="354"/>
      <c r="R87" s="354"/>
      <c r="S87" s="354"/>
      <c r="T87" s="354"/>
      <c r="U87" s="354"/>
      <c r="V87" s="354"/>
      <c r="W87" s="354"/>
    </row>
    <row r="88" spans="1:23" ht="11.25" customHeight="1" x14ac:dyDescent="0.25">
      <c r="A88" s="356" t="str">
        <f>'Org structure'!E131</f>
        <v>11.13 - FX016001002002 - Water Distribution - Urban Water (Water Management) - DN</v>
      </c>
      <c r="B88" s="197"/>
      <c r="C88" s="708">
        <f>-'C3Q'!B86</f>
        <v>698547823.26999998</v>
      </c>
      <c r="D88" s="703">
        <f>-'C3Q'!C86</f>
        <v>726087900</v>
      </c>
      <c r="E88" s="352">
        <f>-'C3Q'!D86</f>
        <v>696071200</v>
      </c>
      <c r="F88" s="352">
        <f>-'C3Q'!E86</f>
        <v>22249049.100000001</v>
      </c>
      <c r="G88" s="352">
        <f>-'C3Q'!F86</f>
        <v>539515185.88999999</v>
      </c>
      <c r="H88" s="352">
        <f>-'C3Q'!G86</f>
        <v>590451105.75</v>
      </c>
      <c r="I88" s="34">
        <f t="shared" si="13"/>
        <v>-50935919.860000014</v>
      </c>
      <c r="J88" s="351">
        <f t="shared" si="7"/>
        <v>-8.6266109698110285E-2</v>
      </c>
      <c r="K88" s="708">
        <f>-'C3Q'!J86</f>
        <v>696071200</v>
      </c>
      <c r="L88" s="353"/>
      <c r="M88" s="354"/>
      <c r="N88" s="354"/>
      <c r="O88" s="354"/>
      <c r="P88" s="354"/>
      <c r="Q88" s="354"/>
      <c r="R88" s="354"/>
      <c r="S88" s="354"/>
      <c r="T88" s="354"/>
      <c r="U88" s="354"/>
      <c r="V88" s="354"/>
      <c r="W88" s="354"/>
    </row>
    <row r="89" spans="1:23" ht="11.25" customHeight="1" x14ac:dyDescent="0.25">
      <c r="A89" s="355" t="str">
        <f>'Org structure'!A16</f>
        <v>Vote 12 - INFRASTRUCTURE SERVICES - ENGINEERING SERVICES</v>
      </c>
      <c r="B89" s="197"/>
      <c r="C89" s="707">
        <f t="shared" ref="C89:H89" si="16">SUM(C90:C91)</f>
        <v>784772.69000000006</v>
      </c>
      <c r="D89" s="723">
        <f t="shared" si="16"/>
        <v>7749500</v>
      </c>
      <c r="E89" s="349">
        <f t="shared" si="16"/>
        <v>7749700</v>
      </c>
      <c r="F89" s="350">
        <f t="shared" si="16"/>
        <v>13697.35</v>
      </c>
      <c r="G89" s="349">
        <f t="shared" si="16"/>
        <v>136750.29</v>
      </c>
      <c r="H89" s="350">
        <f t="shared" si="16"/>
        <v>2409198.1799999997</v>
      </c>
      <c r="I89" s="34">
        <f t="shared" si="13"/>
        <v>-2272447.8899999997</v>
      </c>
      <c r="J89" s="351">
        <f t="shared" si="7"/>
        <v>-0.94323825614047241</v>
      </c>
      <c r="K89" s="707">
        <f>SUM(K90:K91)</f>
        <v>7749700</v>
      </c>
      <c r="L89" s="353"/>
      <c r="M89" s="354"/>
      <c r="N89" s="354"/>
      <c r="O89" s="354"/>
      <c r="P89" s="354"/>
      <c r="Q89" s="354"/>
      <c r="R89" s="354"/>
      <c r="S89" s="354"/>
      <c r="T89" s="354"/>
      <c r="U89" s="354"/>
      <c r="V89" s="354"/>
      <c r="W89" s="354"/>
    </row>
    <row r="90" spans="1:23" ht="11.25" customHeight="1" x14ac:dyDescent="0.25">
      <c r="A90" s="356" t="str">
        <f>'Org structure'!E133</f>
        <v>12.1 - FX010001007001 - Project Management Unit - Administration (Planning and Development) - CE</v>
      </c>
      <c r="B90" s="197"/>
      <c r="C90" s="708">
        <f>-'C3Q'!B88</f>
        <v>235592.03</v>
      </c>
      <c r="D90" s="703">
        <f>-'C3Q'!C88</f>
        <v>95600</v>
      </c>
      <c r="E90" s="352">
        <f>-'C3Q'!D88</f>
        <v>95800</v>
      </c>
      <c r="F90" s="352">
        <f>-'C3Q'!E88</f>
        <v>8014.02</v>
      </c>
      <c r="G90" s="352">
        <f>-'C3Q'!F88</f>
        <v>79902.67</v>
      </c>
      <c r="H90" s="352">
        <f>-'C3Q'!G88</f>
        <v>79850.53</v>
      </c>
      <c r="I90" s="34">
        <f t="shared" si="13"/>
        <v>52.139999999999418</v>
      </c>
      <c r="J90" s="351">
        <f t="shared" si="7"/>
        <v>6.5296999281030965E-4</v>
      </c>
      <c r="K90" s="708">
        <f>-'C3Q'!J88</f>
        <v>95800</v>
      </c>
      <c r="L90" s="353"/>
      <c r="M90" s="354"/>
      <c r="N90" s="354"/>
      <c r="O90" s="354"/>
      <c r="P90" s="354"/>
      <c r="Q90" s="354"/>
      <c r="R90" s="354"/>
      <c r="S90" s="354"/>
      <c r="T90" s="354"/>
      <c r="U90" s="354"/>
      <c r="V90" s="354"/>
      <c r="W90" s="354"/>
    </row>
    <row r="91" spans="1:23" ht="11.25" customHeight="1" x14ac:dyDescent="0.25">
      <c r="A91" s="356" t="str">
        <f>'Org structure'!E134</f>
        <v>12.2 - FX010001007005 - Project Management Unit - PMU (Planning and Development) - CI</v>
      </c>
      <c r="B91" s="197"/>
      <c r="C91" s="708">
        <f>-'C3Q'!B89</f>
        <v>549180.66</v>
      </c>
      <c r="D91" s="703">
        <f>-'C3Q'!C89</f>
        <v>7653900</v>
      </c>
      <c r="E91" s="352">
        <f>-'C3Q'!D89</f>
        <v>7653900</v>
      </c>
      <c r="F91" s="352">
        <f>-'C3Q'!E89</f>
        <v>5683.33</v>
      </c>
      <c r="G91" s="352">
        <f>-'C3Q'!F89</f>
        <v>56847.62</v>
      </c>
      <c r="H91" s="352">
        <f>-'C3Q'!G89</f>
        <v>2329347.65</v>
      </c>
      <c r="I91" s="34">
        <f t="shared" si="13"/>
        <v>-2272500.0299999998</v>
      </c>
      <c r="J91" s="351">
        <f t="shared" si="7"/>
        <v>-0.97559504696518784</v>
      </c>
      <c r="K91" s="708">
        <f>-'C3Q'!J89</f>
        <v>7653900</v>
      </c>
      <c r="L91" s="353"/>
      <c r="M91" s="354"/>
      <c r="N91" s="354"/>
      <c r="O91" s="354"/>
      <c r="P91" s="354"/>
      <c r="Q91" s="354"/>
      <c r="R91" s="354"/>
      <c r="S91" s="354"/>
      <c r="T91" s="354"/>
      <c r="U91" s="354"/>
      <c r="V91" s="354"/>
      <c r="W91" s="354"/>
    </row>
    <row r="92" spans="1:23" ht="11.25" customHeight="1" x14ac:dyDescent="0.25">
      <c r="A92" s="355" t="str">
        <f>'Org structure'!A17</f>
        <v>Vote 13 - OFFICE OF THE MUNICIPAL MANAGER</v>
      </c>
      <c r="B92" s="197"/>
      <c r="C92" s="707">
        <f>SUM(C93:C105)</f>
        <v>4344303.2000000011</v>
      </c>
      <c r="D92" s="350">
        <f t="shared" ref="D92:K92" si="17">SUM(D93:D105)</f>
        <v>3966200</v>
      </c>
      <c r="E92" s="348">
        <f t="shared" si="17"/>
        <v>4296300</v>
      </c>
      <c r="F92" s="348">
        <f t="shared" si="17"/>
        <v>521203.69</v>
      </c>
      <c r="G92" s="348">
        <f t="shared" si="17"/>
        <v>4805879.8499999996</v>
      </c>
      <c r="H92" s="348">
        <f t="shared" si="17"/>
        <v>3928679.2900000005</v>
      </c>
      <c r="I92" s="34">
        <f t="shared" si="13"/>
        <v>877200.55999999912</v>
      </c>
      <c r="J92" s="351">
        <f t="shared" si="7"/>
        <v>0.22328128494296082</v>
      </c>
      <c r="K92" s="707">
        <f t="shared" si="17"/>
        <v>4296300</v>
      </c>
      <c r="L92" s="353"/>
      <c r="M92" s="354"/>
      <c r="N92" s="354"/>
      <c r="O92" s="354"/>
      <c r="P92" s="354"/>
      <c r="Q92" s="354"/>
      <c r="R92" s="354"/>
      <c r="S92" s="354"/>
      <c r="T92" s="354"/>
      <c r="U92" s="354"/>
      <c r="V92" s="354"/>
      <c r="W92" s="354"/>
    </row>
    <row r="93" spans="1:23" ht="11.25" customHeight="1" x14ac:dyDescent="0.25">
      <c r="A93" s="356" t="str">
        <f>'Org structure'!E144</f>
        <v>13.1 - FX004001001001 - Mayor and Council (Executive and Council) - AS</v>
      </c>
      <c r="B93" s="197"/>
      <c r="C93" s="708">
        <f>-'C3Q'!B91</f>
        <v>851614.37</v>
      </c>
      <c r="D93" s="703">
        <f>-'C3Q'!C91</f>
        <v>532100</v>
      </c>
      <c r="E93" s="352">
        <f>-'C3Q'!D91</f>
        <v>532100</v>
      </c>
      <c r="F93" s="352">
        <f>-'C3Q'!E91</f>
        <v>81314.27</v>
      </c>
      <c r="G93" s="352">
        <f>-'C3Q'!F91</f>
        <v>1341156.8500000001</v>
      </c>
      <c r="H93" s="352">
        <f>-'C3Q'!G91</f>
        <v>1304084.18</v>
      </c>
      <c r="I93" s="34">
        <f t="shared" si="13"/>
        <v>37072.670000000158</v>
      </c>
      <c r="J93" s="351">
        <f t="shared" si="7"/>
        <v>2.8428126472633201E-2</v>
      </c>
      <c r="K93" s="708">
        <f>-'C3Q'!J91</f>
        <v>532100</v>
      </c>
      <c r="L93" s="353"/>
      <c r="M93" s="354"/>
      <c r="N93" s="354"/>
      <c r="O93" s="354"/>
      <c r="P93" s="354"/>
      <c r="Q93" s="354"/>
      <c r="R93" s="354"/>
      <c r="S93" s="354"/>
      <c r="T93" s="354"/>
      <c r="U93" s="354"/>
      <c r="V93" s="354"/>
      <c r="W93" s="354"/>
    </row>
    <row r="94" spans="1:23" ht="11.25" customHeight="1" x14ac:dyDescent="0.25">
      <c r="A94" s="356" t="str">
        <f>'Org structure'!E145</f>
        <v>13.2 - FX004001002001 - DMM - Corporate Services (Executive and Council) - AU</v>
      </c>
      <c r="B94" s="197"/>
      <c r="C94" s="708">
        <f>-'C3Q'!B92</f>
        <v>28800</v>
      </c>
      <c r="D94" s="703">
        <f>-'C3Q'!C92</f>
        <v>27300</v>
      </c>
      <c r="E94" s="352">
        <f>-'C3Q'!D92</f>
        <v>27400</v>
      </c>
      <c r="F94" s="352">
        <f>-'C3Q'!E92</f>
        <v>2275</v>
      </c>
      <c r="G94" s="352">
        <f>-'C3Q'!F92</f>
        <v>22750</v>
      </c>
      <c r="H94" s="352">
        <f>-'C3Q'!G92</f>
        <v>22792.87</v>
      </c>
      <c r="I94" s="34">
        <f t="shared" si="13"/>
        <v>-42.869999999998981</v>
      </c>
      <c r="J94" s="351">
        <f t="shared" si="7"/>
        <v>-1.880851336404717E-3</v>
      </c>
      <c r="K94" s="708">
        <f>-'C3Q'!J92</f>
        <v>27400</v>
      </c>
      <c r="L94" s="353"/>
      <c r="M94" s="354"/>
      <c r="N94" s="354"/>
      <c r="O94" s="354"/>
      <c r="P94" s="354"/>
      <c r="Q94" s="354"/>
      <c r="R94" s="354"/>
      <c r="S94" s="354"/>
      <c r="T94" s="354"/>
      <c r="U94" s="354"/>
      <c r="V94" s="354"/>
      <c r="W94" s="354"/>
    </row>
    <row r="95" spans="1:23" ht="11.25" customHeight="1" x14ac:dyDescent="0.25">
      <c r="A95" s="356" t="str">
        <f>'Org structure'!E146</f>
        <v>13.3 - FX004001002002 - DMM - ITS (Executive and Council) - AV</v>
      </c>
      <c r="B95" s="197"/>
      <c r="C95" s="708">
        <f>-'C3Q'!B93</f>
        <v>83158.990000000005</v>
      </c>
      <c r="D95" s="703">
        <f>-'C3Q'!C93</f>
        <v>54600</v>
      </c>
      <c r="E95" s="352">
        <f>-'C3Q'!D93</f>
        <v>54700</v>
      </c>
      <c r="F95" s="352">
        <f>-'C3Q'!E93</f>
        <v>4550</v>
      </c>
      <c r="G95" s="352">
        <f>-'C3Q'!F93</f>
        <v>45500</v>
      </c>
      <c r="H95" s="352">
        <f>-'C3Q'!G93</f>
        <v>45542.87</v>
      </c>
      <c r="I95" s="34">
        <f t="shared" si="13"/>
        <v>-42.870000000002619</v>
      </c>
      <c r="J95" s="351">
        <f t="shared" si="7"/>
        <v>-9.4131090113562489E-4</v>
      </c>
      <c r="K95" s="708">
        <f>-'C3Q'!J93</f>
        <v>54700</v>
      </c>
      <c r="L95" s="353"/>
      <c r="M95" s="354"/>
      <c r="N95" s="354"/>
      <c r="O95" s="354"/>
      <c r="P95" s="354"/>
      <c r="Q95" s="354"/>
      <c r="R95" s="354"/>
      <c r="S95" s="354"/>
      <c r="T95" s="354"/>
      <c r="U95" s="354"/>
      <c r="V95" s="354"/>
      <c r="W95" s="354"/>
    </row>
    <row r="96" spans="1:23" ht="11.25" customHeight="1" x14ac:dyDescent="0.25">
      <c r="A96" s="356" t="str">
        <f>'Org structure'!E147</f>
        <v>13.4 - FX004001002003 -  DMM - City Development (Executive and Council) - AW</v>
      </c>
      <c r="B96" s="197"/>
      <c r="C96" s="708">
        <f>-'C3Q'!B94</f>
        <v>22418.43</v>
      </c>
      <c r="D96" s="703">
        <f>-'C3Q'!C94</f>
        <v>27300</v>
      </c>
      <c r="E96" s="352">
        <f>-'C3Q'!D94</f>
        <v>27500</v>
      </c>
      <c r="F96" s="352">
        <f>-'C3Q'!E94</f>
        <v>2275</v>
      </c>
      <c r="G96" s="352">
        <f>-'C3Q'!F94</f>
        <v>22773.31</v>
      </c>
      <c r="H96" s="352">
        <f>-'C3Q'!G94</f>
        <v>22846.18</v>
      </c>
      <c r="I96" s="34">
        <f t="shared" si="13"/>
        <v>-72.869999999998981</v>
      </c>
      <c r="J96" s="351">
        <f t="shared" si="7"/>
        <v>-3.1895923082107809E-3</v>
      </c>
      <c r="K96" s="708">
        <f>-'C3Q'!J94</f>
        <v>27500</v>
      </c>
      <c r="L96" s="353"/>
      <c r="M96" s="354"/>
      <c r="N96" s="354"/>
      <c r="O96" s="354"/>
      <c r="P96" s="354"/>
      <c r="Q96" s="354"/>
      <c r="R96" s="354"/>
      <c r="S96" s="354"/>
      <c r="T96" s="354"/>
      <c r="U96" s="354"/>
      <c r="V96" s="354"/>
      <c r="W96" s="354"/>
    </row>
    <row r="97" spans="1:23" ht="11.25" customHeight="1" x14ac:dyDescent="0.25">
      <c r="A97" s="356" t="str">
        <f>'Org structure'!E148</f>
        <v>13.5 - FX004001002004 - DMM - Community Services (Executive and Council) - AX</v>
      </c>
      <c r="B97" s="197"/>
      <c r="C97" s="708">
        <f>-'C3Q'!B95</f>
        <v>82044.240000000005</v>
      </c>
      <c r="D97" s="703">
        <f>-'C3Q'!C95</f>
        <v>54600</v>
      </c>
      <c r="E97" s="352">
        <f>-'C3Q'!D95</f>
        <v>54700</v>
      </c>
      <c r="F97" s="352">
        <f>-'C3Q'!E95</f>
        <v>4550</v>
      </c>
      <c r="G97" s="352">
        <f>-'C3Q'!F95</f>
        <v>45500</v>
      </c>
      <c r="H97" s="352">
        <f>-'C3Q'!G95</f>
        <v>45542.87</v>
      </c>
      <c r="I97" s="34">
        <f t="shared" si="13"/>
        <v>-42.870000000002619</v>
      </c>
      <c r="J97" s="351">
        <f t="shared" si="7"/>
        <v>-9.4131090113562489E-4</v>
      </c>
      <c r="K97" s="708">
        <f>-'C3Q'!J95</f>
        <v>54700</v>
      </c>
      <c r="L97" s="353"/>
      <c r="M97" s="354"/>
      <c r="N97" s="354"/>
      <c r="O97" s="354"/>
      <c r="P97" s="354"/>
      <c r="Q97" s="354"/>
      <c r="R97" s="354"/>
      <c r="S97" s="354"/>
      <c r="T97" s="354"/>
      <c r="U97" s="354"/>
      <c r="V97" s="354"/>
      <c r="W97" s="354"/>
    </row>
    <row r="98" spans="1:23" ht="11.25" customHeight="1" x14ac:dyDescent="0.25">
      <c r="A98" s="356" t="str">
        <f>'Org structure'!E149</f>
        <v>13.6 - FX004001002005 -  Municipal Manager (Executive and Council) - AY</v>
      </c>
      <c r="B98" s="197"/>
      <c r="C98" s="708">
        <f>-'C3Q'!B96</f>
        <v>37214.74</v>
      </c>
      <c r="D98" s="703">
        <f>-'C3Q'!C96</f>
        <v>27300</v>
      </c>
      <c r="E98" s="352">
        <f>-'C3Q'!D96</f>
        <v>27400</v>
      </c>
      <c r="F98" s="352">
        <f>-'C3Q'!E96</f>
        <v>2275</v>
      </c>
      <c r="G98" s="352">
        <f>-'C3Q'!F96</f>
        <v>22750</v>
      </c>
      <c r="H98" s="352">
        <f>-'C3Q'!G96</f>
        <v>22792.87</v>
      </c>
      <c r="I98" s="34">
        <f t="shared" si="13"/>
        <v>-42.869999999998981</v>
      </c>
      <c r="J98" s="351">
        <f t="shared" si="7"/>
        <v>-1.880851336404717E-3</v>
      </c>
      <c r="K98" s="708">
        <f>-'C3Q'!J96</f>
        <v>27400</v>
      </c>
      <c r="L98" s="353"/>
      <c r="M98" s="354"/>
      <c r="N98" s="354"/>
      <c r="O98" s="354"/>
      <c r="P98" s="354"/>
      <c r="Q98" s="354"/>
      <c r="R98" s="354"/>
      <c r="S98" s="354"/>
      <c r="T98" s="354"/>
      <c r="U98" s="354"/>
      <c r="V98" s="354"/>
      <c r="W98" s="354"/>
    </row>
    <row r="99" spans="1:23" ht="11.25" customHeight="1" x14ac:dyDescent="0.25">
      <c r="A99" s="356" t="str">
        <f>'Org structure'!E150</f>
        <v>13.7 - FX004001002007 - Performance Management (Executive and Council) - BA</v>
      </c>
      <c r="B99" s="197"/>
      <c r="C99" s="708">
        <f>-'C3Q'!B97</f>
        <v>78944.240000000005</v>
      </c>
      <c r="D99" s="703">
        <f>-'C3Q'!C97</f>
        <v>27300</v>
      </c>
      <c r="E99" s="352">
        <f>-'C3Q'!D97</f>
        <v>27400</v>
      </c>
      <c r="F99" s="352">
        <f>-'C3Q'!E97</f>
        <v>2275</v>
      </c>
      <c r="G99" s="352">
        <f>-'C3Q'!F97</f>
        <v>22750</v>
      </c>
      <c r="H99" s="352">
        <f>-'C3Q'!G97</f>
        <v>22792.87</v>
      </c>
      <c r="I99" s="34">
        <f t="shared" si="13"/>
        <v>-42.869999999998981</v>
      </c>
      <c r="J99" s="351">
        <f t="shared" si="7"/>
        <v>-1.880851336404717E-3</v>
      </c>
      <c r="K99" s="708">
        <f>-'C3Q'!J97</f>
        <v>27400</v>
      </c>
      <c r="L99" s="353"/>
      <c r="M99" s="354"/>
      <c r="N99" s="354"/>
      <c r="O99" s="354"/>
      <c r="P99" s="354"/>
      <c r="Q99" s="354"/>
      <c r="R99" s="354"/>
      <c r="S99" s="354"/>
      <c r="T99" s="354"/>
      <c r="U99" s="354"/>
      <c r="V99" s="354"/>
      <c r="W99" s="354"/>
    </row>
    <row r="100" spans="1:23" ht="11.25" customHeight="1" x14ac:dyDescent="0.25">
      <c r="A100" s="356" t="str">
        <f>'Org structure'!E151</f>
        <v>13.8 - FX005001009 - Marketing, Customer Relations, Publicity and Media Co-ordination (Finance and Administration) - BM</v>
      </c>
      <c r="B100" s="197"/>
      <c r="C100" s="708">
        <f>-'C3Q'!B98</f>
        <v>2766273.72</v>
      </c>
      <c r="D100" s="703">
        <f>-'C3Q'!C98</f>
        <v>3106200</v>
      </c>
      <c r="E100" s="352">
        <f>-'C3Q'!D98</f>
        <v>3435300</v>
      </c>
      <c r="F100" s="352">
        <f>-'C3Q'!E98</f>
        <v>412574.67</v>
      </c>
      <c r="G100" s="352">
        <f>-'C3Q'!F98</f>
        <v>3191636.77</v>
      </c>
      <c r="H100" s="352">
        <f>-'C3Q'!G98</f>
        <v>2350807.7999999998</v>
      </c>
      <c r="I100" s="34">
        <f t="shared" si="13"/>
        <v>840828.9700000002</v>
      </c>
      <c r="J100" s="351">
        <f t="shared" si="7"/>
        <v>0.35767661226919539</v>
      </c>
      <c r="K100" s="708">
        <f>-'C3Q'!J98</f>
        <v>3435300</v>
      </c>
      <c r="L100" s="353"/>
      <c r="M100" s="354"/>
      <c r="N100" s="354"/>
      <c r="O100" s="354"/>
      <c r="P100" s="354"/>
      <c r="Q100" s="354"/>
      <c r="R100" s="354"/>
      <c r="S100" s="354"/>
      <c r="T100" s="354"/>
      <c r="U100" s="354"/>
      <c r="V100" s="354"/>
      <c r="W100" s="354"/>
    </row>
    <row r="101" spans="1:23" ht="11.25" customHeight="1" x14ac:dyDescent="0.25">
      <c r="A101" s="356" t="str">
        <f>'Org structure'!E152</f>
        <v>13.9 - FX004001002008 - DMM - Chief Operations Officer (Executive and Council) - BC</v>
      </c>
      <c r="B101" s="197"/>
      <c r="C101" s="708">
        <f>-'C3Q'!B99</f>
        <v>100052.63</v>
      </c>
      <c r="D101" s="703">
        <f>-'C3Q'!C99</f>
        <v>54700</v>
      </c>
      <c r="E101" s="352">
        <f>-'C3Q'!D99</f>
        <v>54800</v>
      </c>
      <c r="F101" s="352">
        <f>-'C3Q'!E99</f>
        <v>4564.75</v>
      </c>
      <c r="G101" s="352">
        <f>-'C3Q'!F99</f>
        <v>45539.85</v>
      </c>
      <c r="H101" s="352">
        <f>-'C3Q'!G99</f>
        <v>45667.97</v>
      </c>
      <c r="I101" s="34">
        <f t="shared" si="13"/>
        <v>-128.12000000000262</v>
      </c>
      <c r="J101" s="351">
        <f t="shared" si="7"/>
        <v>-2.8054673768070403E-3</v>
      </c>
      <c r="K101" s="708">
        <f>-'C3Q'!J99</f>
        <v>54800</v>
      </c>
      <c r="L101" s="353"/>
      <c r="M101" s="354"/>
      <c r="N101" s="354"/>
      <c r="O101" s="354"/>
      <c r="P101" s="354"/>
      <c r="Q101" s="354"/>
      <c r="R101" s="354"/>
      <c r="S101" s="354"/>
      <c r="T101" s="354"/>
      <c r="U101" s="354"/>
      <c r="V101" s="354"/>
      <c r="W101" s="354"/>
    </row>
    <row r="102" spans="1:23" ht="11.25" customHeight="1" x14ac:dyDescent="0.25">
      <c r="A102" s="356" t="str">
        <f>'Org structure'!E153</f>
        <v>13.10 - FX005001011 - Risk Management (Finance and Administration) - BO</v>
      </c>
      <c r="B102" s="197"/>
      <c r="C102" s="708">
        <f>-'C3Q'!B100</f>
        <v>80453.100000000006</v>
      </c>
      <c r="D102" s="703">
        <f>-'C3Q'!C100</f>
        <v>27400</v>
      </c>
      <c r="E102" s="352">
        <f>-'C3Q'!D100</f>
        <v>27500</v>
      </c>
      <c r="F102" s="352">
        <f>-'C3Q'!E100</f>
        <v>2275</v>
      </c>
      <c r="G102" s="352">
        <f>-'C3Q'!F100</f>
        <v>22773.07</v>
      </c>
      <c r="H102" s="352">
        <f>-'C3Q'!G100</f>
        <v>22915.94</v>
      </c>
      <c r="I102" s="34">
        <f t="shared" si="13"/>
        <v>-142.86999999999898</v>
      </c>
      <c r="J102" s="351">
        <f t="shared" si="7"/>
        <v>-6.2345249638460819E-3</v>
      </c>
      <c r="K102" s="708">
        <f>-'C3Q'!J100</f>
        <v>27500</v>
      </c>
      <c r="L102" s="353"/>
      <c r="M102" s="354"/>
      <c r="N102" s="354"/>
      <c r="O102" s="354"/>
      <c r="P102" s="354"/>
      <c r="Q102" s="354"/>
      <c r="R102" s="354"/>
      <c r="S102" s="354"/>
      <c r="T102" s="354"/>
      <c r="U102" s="354"/>
      <c r="V102" s="354"/>
      <c r="W102" s="354"/>
    </row>
    <row r="103" spans="1:23" ht="11.25" customHeight="1" x14ac:dyDescent="0.25">
      <c r="A103" s="356" t="str">
        <f>'Org structure'!E154</f>
        <v>13.11 - FX008001001 - Governance Function (Internal Audit) - BU</v>
      </c>
      <c r="B103" s="197"/>
      <c r="C103" s="708">
        <f>-'C3Q'!B101</f>
        <v>98355.01</v>
      </c>
      <c r="D103" s="703">
        <f>-'C3Q'!C101</f>
        <v>27400</v>
      </c>
      <c r="E103" s="352">
        <f>-'C3Q'!D101</f>
        <v>27500</v>
      </c>
      <c r="F103" s="352">
        <f>-'C3Q'!E101</f>
        <v>2275</v>
      </c>
      <c r="G103" s="352">
        <f>-'C3Q'!F101</f>
        <v>22750</v>
      </c>
      <c r="H103" s="352">
        <f>-'C3Q'!G101</f>
        <v>22892.87</v>
      </c>
      <c r="I103" s="34">
        <f t="shared" si="13"/>
        <v>-142.86999999999898</v>
      </c>
      <c r="J103" s="351">
        <f t="shared" si="7"/>
        <v>-6.2408077274714348E-3</v>
      </c>
      <c r="K103" s="708">
        <f>-'C3Q'!J101</f>
        <v>27500</v>
      </c>
      <c r="L103" s="353"/>
      <c r="M103" s="354"/>
      <c r="N103" s="354"/>
      <c r="O103" s="354"/>
      <c r="P103" s="354"/>
      <c r="Q103" s="354"/>
      <c r="R103" s="354"/>
      <c r="S103" s="354"/>
      <c r="T103" s="354"/>
      <c r="U103" s="354"/>
      <c r="V103" s="354"/>
      <c r="W103" s="354"/>
    </row>
    <row r="104" spans="1:23" ht="11.25" customHeight="1" x14ac:dyDescent="0.25">
      <c r="A104" s="356" t="str">
        <f>'Org structure'!E155</f>
        <v>13.12 - FX004001002009 - Research, Knowledge Management and Innovation (Executive and Council) - DV</v>
      </c>
      <c r="B104" s="197"/>
      <c r="C104" s="708">
        <f>-'C3Q'!B102</f>
        <v>24229.49</v>
      </c>
      <c r="D104" s="703">
        <f>-'C3Q'!C102</f>
        <v>0</v>
      </c>
      <c r="E104" s="352">
        <f>-'C3Q'!D102</f>
        <v>0</v>
      </c>
      <c r="F104" s="352">
        <f>-'C3Q'!E102</f>
        <v>0</v>
      </c>
      <c r="G104" s="352">
        <f>-'C3Q'!F102</f>
        <v>0</v>
      </c>
      <c r="H104" s="352">
        <f>-'C3Q'!G102</f>
        <v>0</v>
      </c>
      <c r="I104" s="34">
        <f t="shared" si="13"/>
        <v>0</v>
      </c>
      <c r="J104" s="351" t="str">
        <f t="shared" ref="J104:J167" si="18">IF(H104=0,"",I104/H104)</f>
        <v/>
      </c>
      <c r="K104" s="708">
        <f>-'C3Q'!J102</f>
        <v>0</v>
      </c>
      <c r="L104" s="353"/>
      <c r="M104" s="354"/>
      <c r="N104" s="354"/>
      <c r="O104" s="354"/>
      <c r="P104" s="354"/>
      <c r="Q104" s="354"/>
      <c r="R104" s="354"/>
      <c r="S104" s="354"/>
      <c r="T104" s="354"/>
      <c r="U104" s="354"/>
      <c r="V104" s="354"/>
      <c r="W104" s="354"/>
    </row>
    <row r="105" spans="1:23" ht="11.25" customHeight="1" x14ac:dyDescent="0.25">
      <c r="A105" s="356" t="str">
        <f>'Org structure'!E156</f>
        <v>13.13 - FX004001002010 - Mayoral Support Services (Executive and Council) - DW</v>
      </c>
      <c r="B105" s="197"/>
      <c r="C105" s="708">
        <f>-'C3Q'!B103</f>
        <v>90744.24</v>
      </c>
      <c r="D105" s="703">
        <f>-'C3Q'!C103</f>
        <v>0</v>
      </c>
      <c r="E105" s="352">
        <f>-'C3Q'!D103</f>
        <v>0</v>
      </c>
      <c r="F105" s="352">
        <f>-'C3Q'!E103</f>
        <v>0</v>
      </c>
      <c r="G105" s="352">
        <f>-'C3Q'!F103</f>
        <v>0</v>
      </c>
      <c r="H105" s="352">
        <f>-'C3Q'!G103</f>
        <v>0</v>
      </c>
      <c r="I105" s="34">
        <f t="shared" si="13"/>
        <v>0</v>
      </c>
      <c r="J105" s="351" t="str">
        <f t="shared" si="18"/>
        <v/>
      </c>
      <c r="K105" s="708">
        <f>-'C3Q'!J103</f>
        <v>0</v>
      </c>
      <c r="L105" s="353"/>
      <c r="M105" s="354"/>
      <c r="N105" s="354"/>
      <c r="O105" s="354"/>
      <c r="P105" s="354"/>
      <c r="Q105" s="354"/>
      <c r="R105" s="354"/>
      <c r="S105" s="354"/>
      <c r="T105" s="354"/>
      <c r="U105" s="354"/>
      <c r="V105" s="354"/>
      <c r="W105" s="354"/>
    </row>
    <row r="106" spans="1:23" ht="11.25" customHeight="1" x14ac:dyDescent="0.25">
      <c r="A106" s="355" t="str">
        <f>'Org structure'!A18</f>
        <v>Vote 14 - CORPORATE SERVICES - LEGAL SERVICES</v>
      </c>
      <c r="B106" s="197"/>
      <c r="C106" s="707">
        <f t="shared" ref="C106:H106" si="19">SUM(C107:C107)</f>
        <v>195317.97</v>
      </c>
      <c r="D106" s="723">
        <f t="shared" si="19"/>
        <v>96000</v>
      </c>
      <c r="E106" s="349">
        <f t="shared" si="19"/>
        <v>96200</v>
      </c>
      <c r="F106" s="350">
        <f t="shared" si="19"/>
        <v>7958.34</v>
      </c>
      <c r="G106" s="349">
        <f t="shared" si="19"/>
        <v>79583.399999999994</v>
      </c>
      <c r="H106" s="350">
        <f t="shared" si="19"/>
        <v>79669.08</v>
      </c>
      <c r="I106" s="34">
        <f t="shared" si="13"/>
        <v>-85.680000000007567</v>
      </c>
      <c r="J106" s="351">
        <f t="shared" si="18"/>
        <v>-1.0754485931054754E-3</v>
      </c>
      <c r="K106" s="707">
        <f>SUM(K107:K107)</f>
        <v>96200</v>
      </c>
      <c r="L106" s="353"/>
      <c r="M106" s="354"/>
      <c r="N106" s="354"/>
      <c r="O106" s="354"/>
      <c r="P106" s="354"/>
      <c r="Q106" s="354"/>
      <c r="R106" s="354"/>
      <c r="S106" s="354"/>
      <c r="T106" s="354"/>
      <c r="U106" s="354"/>
      <c r="V106" s="354"/>
      <c r="W106" s="354"/>
    </row>
    <row r="107" spans="1:23" ht="11.25" customHeight="1" x14ac:dyDescent="0.25">
      <c r="A107" s="356" t="str">
        <f>'Org structure'!E158</f>
        <v>14.1 - FX005001008 - Legal Services (Finance and Administration) - BL</v>
      </c>
      <c r="B107" s="197"/>
      <c r="C107" s="708">
        <f>-'C3Q'!B105</f>
        <v>195317.97</v>
      </c>
      <c r="D107" s="703">
        <f>-'C3Q'!C105</f>
        <v>96000</v>
      </c>
      <c r="E107" s="352">
        <f>-'C3Q'!D105</f>
        <v>96200</v>
      </c>
      <c r="F107" s="352">
        <f>-'C3Q'!E105</f>
        <v>7958.34</v>
      </c>
      <c r="G107" s="352">
        <f>-'C3Q'!F105</f>
        <v>79583.399999999994</v>
      </c>
      <c r="H107" s="352">
        <f>-'C3Q'!G105</f>
        <v>79669.08</v>
      </c>
      <c r="I107" s="34">
        <f t="shared" si="13"/>
        <v>-85.680000000007567</v>
      </c>
      <c r="J107" s="351">
        <f t="shared" si="18"/>
        <v>-1.0754485931054754E-3</v>
      </c>
      <c r="K107" s="708">
        <f>-'C3Q'!J105</f>
        <v>96200</v>
      </c>
      <c r="L107" s="353"/>
      <c r="M107" s="354"/>
      <c r="N107" s="354"/>
      <c r="O107" s="354"/>
      <c r="P107" s="354"/>
      <c r="Q107" s="354"/>
      <c r="R107" s="354"/>
      <c r="S107" s="354"/>
      <c r="T107" s="354"/>
      <c r="U107" s="354"/>
      <c r="V107" s="354"/>
      <c r="W107" s="354"/>
    </row>
    <row r="108" spans="1:23" ht="11.25" customHeight="1" x14ac:dyDescent="0.25">
      <c r="A108" s="355" t="str">
        <f>'Org structure'!A19</f>
        <v>Vote 15 - INFRASTRUCTURE SERVICES - INFRASTRUCTURE SUPPORT SERVICES</v>
      </c>
      <c r="B108" s="197"/>
      <c r="C108" s="707">
        <f t="shared" ref="C108:H108" si="20">SUM(C109:C110)</f>
        <v>802116.38</v>
      </c>
      <c r="D108" s="723">
        <f t="shared" si="20"/>
        <v>3894900</v>
      </c>
      <c r="E108" s="349">
        <f t="shared" si="20"/>
        <v>3895200</v>
      </c>
      <c r="F108" s="350">
        <f t="shared" si="20"/>
        <v>115941.66</v>
      </c>
      <c r="G108" s="349">
        <f t="shared" si="20"/>
        <v>1159200.8900000001</v>
      </c>
      <c r="H108" s="350">
        <f t="shared" si="20"/>
        <v>1779910.33</v>
      </c>
      <c r="I108" s="34">
        <f t="shared" si="13"/>
        <v>-620709.43999999994</v>
      </c>
      <c r="J108" s="351">
        <f t="shared" si="18"/>
        <v>-0.34873073633995927</v>
      </c>
      <c r="K108" s="707">
        <f>SUM(K109:K110)</f>
        <v>3895200</v>
      </c>
      <c r="L108" s="353"/>
      <c r="M108" s="354"/>
      <c r="N108" s="354"/>
      <c r="O108" s="354"/>
      <c r="P108" s="354"/>
      <c r="Q108" s="354"/>
      <c r="R108" s="354"/>
      <c r="S108" s="354"/>
      <c r="T108" s="354"/>
      <c r="U108" s="354"/>
      <c r="V108" s="354"/>
      <c r="W108" s="354"/>
    </row>
    <row r="109" spans="1:23" ht="11.25" customHeight="1" x14ac:dyDescent="0.25">
      <c r="A109" s="356" t="str">
        <f>'Org structure'!E169</f>
        <v>15.1 - FX016001001003 - Water Treatment - Scientific Services (Water Management) - DL</v>
      </c>
      <c r="B109" s="197"/>
      <c r="C109" s="708">
        <f>-'C3Q'!B107</f>
        <v>675083.29</v>
      </c>
      <c r="D109" s="703">
        <f>-'C3Q'!C107</f>
        <v>3160300</v>
      </c>
      <c r="E109" s="352">
        <f>-'C3Q'!D107</f>
        <v>3160500</v>
      </c>
      <c r="F109" s="352">
        <f>-'C3Q'!E107</f>
        <v>54684.76</v>
      </c>
      <c r="G109" s="352">
        <f>-'C3Q'!F107</f>
        <v>546993.96</v>
      </c>
      <c r="H109" s="352">
        <f>-'C3Q'!G107</f>
        <v>1167700.79</v>
      </c>
      <c r="I109" s="34">
        <f t="shared" si="13"/>
        <v>-620706.83000000007</v>
      </c>
      <c r="J109" s="351">
        <f t="shared" si="18"/>
        <v>-0.53156325260343451</v>
      </c>
      <c r="K109" s="708">
        <f>-'C3Q'!J107</f>
        <v>3160500</v>
      </c>
      <c r="L109" s="353"/>
      <c r="M109" s="354"/>
      <c r="N109" s="354"/>
      <c r="O109" s="354"/>
      <c r="P109" s="354"/>
      <c r="Q109" s="354"/>
      <c r="R109" s="354"/>
      <c r="S109" s="354"/>
      <c r="T109" s="354"/>
      <c r="U109" s="354"/>
      <c r="V109" s="354"/>
      <c r="W109" s="354"/>
    </row>
    <row r="110" spans="1:23" ht="11.25" customHeight="1" x14ac:dyDescent="0.25">
      <c r="A110" s="356" t="str">
        <f>'Org structure'!E170</f>
        <v>15.2 - FX016001002003 - Water Distribution - Water Demand Management (Water Management) - DO</v>
      </c>
      <c r="B110" s="197"/>
      <c r="C110" s="708">
        <f>-'C3Q'!B108</f>
        <v>127033.09</v>
      </c>
      <c r="D110" s="703">
        <f>-'C3Q'!C108</f>
        <v>734600</v>
      </c>
      <c r="E110" s="352">
        <f>-'C3Q'!D108</f>
        <v>734700</v>
      </c>
      <c r="F110" s="352">
        <f>-'C3Q'!E108</f>
        <v>61256.9</v>
      </c>
      <c r="G110" s="352">
        <f>-'C3Q'!F108</f>
        <v>612206.93000000005</v>
      </c>
      <c r="H110" s="352">
        <f>-'C3Q'!G108</f>
        <v>612209.54</v>
      </c>
      <c r="I110" s="65">
        <f t="shared" si="13"/>
        <v>-2.6099999999860302</v>
      </c>
      <c r="J110" s="674">
        <f t="shared" si="18"/>
        <v>-4.2632462081300297E-6</v>
      </c>
      <c r="K110" s="708">
        <f>-'C3Q'!J108</f>
        <v>734700</v>
      </c>
      <c r="L110" s="353"/>
      <c r="M110" s="354"/>
      <c r="N110" s="354"/>
      <c r="O110" s="354"/>
      <c r="P110" s="354"/>
      <c r="Q110" s="354"/>
      <c r="R110" s="354"/>
      <c r="S110" s="354"/>
      <c r="T110" s="354"/>
      <c r="U110" s="354"/>
      <c r="V110" s="354"/>
      <c r="W110" s="354"/>
    </row>
    <row r="111" spans="1:23" ht="12.75" customHeight="1" x14ac:dyDescent="0.25">
      <c r="A111" s="31" t="s">
        <v>584</v>
      </c>
      <c r="B111" s="197">
        <v>2</v>
      </c>
      <c r="C111" s="709">
        <f t="shared" ref="C111:H111" si="21">C6+C20+C28+C33+C47+C51+C53+C58+C64+C72+C75+C89+C92+C106+C108</f>
        <v>5266009224.5300007</v>
      </c>
      <c r="D111" s="724">
        <f t="shared" si="21"/>
        <v>5818454800</v>
      </c>
      <c r="E111" s="357">
        <f t="shared" si="21"/>
        <v>5565047847</v>
      </c>
      <c r="F111" s="358">
        <f t="shared" si="21"/>
        <v>386113216.23000008</v>
      </c>
      <c r="G111" s="357">
        <f t="shared" si="21"/>
        <v>4617495441.3999996</v>
      </c>
      <c r="H111" s="358">
        <f t="shared" si="21"/>
        <v>4623794000.7799997</v>
      </c>
      <c r="I111" s="34">
        <f t="shared" si="13"/>
        <v>-6298559.3800001144</v>
      </c>
      <c r="J111" s="351">
        <f t="shared" si="18"/>
        <v>-1.3622058809145898E-3</v>
      </c>
      <c r="K111" s="709">
        <f>K6+K20+K28+K33+K47+K51+K53+K58+K64+K72+K75+K89+K92+K106+K108</f>
        <v>5565047847</v>
      </c>
      <c r="L111" s="353"/>
      <c r="M111" s="354"/>
      <c r="N111" s="354"/>
      <c r="O111" s="354"/>
      <c r="P111" s="354"/>
      <c r="Q111" s="354"/>
      <c r="R111" s="354"/>
      <c r="S111" s="354"/>
      <c r="T111" s="354"/>
      <c r="U111" s="354"/>
      <c r="V111" s="354"/>
      <c r="W111" s="354"/>
    </row>
    <row r="112" spans="1:23" ht="3" customHeight="1" x14ac:dyDescent="0.25">
      <c r="A112" s="61"/>
      <c r="B112" s="196"/>
      <c r="C112" s="424"/>
      <c r="D112" s="593"/>
      <c r="E112" s="362"/>
      <c r="F112" s="165"/>
      <c r="G112" s="362"/>
      <c r="H112" s="165"/>
      <c r="I112" s="34">
        <f t="shared" si="13"/>
        <v>0</v>
      </c>
      <c r="J112" s="351" t="str">
        <f t="shared" si="18"/>
        <v/>
      </c>
      <c r="K112" s="424"/>
      <c r="L112" s="353"/>
      <c r="M112" s="354"/>
      <c r="N112" s="354"/>
      <c r="O112" s="354"/>
      <c r="P112" s="354"/>
      <c r="Q112" s="354"/>
      <c r="R112" s="354"/>
      <c r="S112" s="354"/>
      <c r="T112" s="354"/>
      <c r="U112" s="354"/>
      <c r="V112" s="354"/>
      <c r="W112" s="354"/>
    </row>
    <row r="113" spans="1:23" ht="11.25" customHeight="1" x14ac:dyDescent="0.25">
      <c r="A113" s="92" t="s">
        <v>698</v>
      </c>
      <c r="B113" s="363">
        <v>1</v>
      </c>
      <c r="C113" s="710"/>
      <c r="D113" s="725"/>
      <c r="E113" s="364"/>
      <c r="F113" s="170"/>
      <c r="G113" s="364"/>
      <c r="H113" s="170"/>
      <c r="I113" s="364">
        <f t="shared" si="13"/>
        <v>0</v>
      </c>
      <c r="J113" s="721" t="str">
        <f t="shared" si="18"/>
        <v/>
      </c>
      <c r="K113" s="710"/>
      <c r="L113" s="353"/>
      <c r="M113" s="354"/>
      <c r="N113" s="354"/>
      <c r="O113" s="354"/>
      <c r="P113" s="354"/>
      <c r="Q113" s="354"/>
      <c r="R113" s="354"/>
      <c r="S113" s="354"/>
      <c r="T113" s="354"/>
      <c r="U113" s="354"/>
      <c r="V113" s="354"/>
      <c r="W113" s="354"/>
    </row>
    <row r="114" spans="1:23" ht="11.25" customHeight="1" x14ac:dyDescent="0.25">
      <c r="A114" s="66" t="str">
        <f>'Org structure'!A2</f>
        <v>Vote 1 - CITY DEVELOPMENT</v>
      </c>
      <c r="B114" s="132"/>
      <c r="C114" s="707">
        <f>SUM(C115:C127)</f>
        <v>384425555.90999991</v>
      </c>
      <c r="D114" s="350">
        <f t="shared" ref="D114:K114" si="22">SUM(D115:D127)</f>
        <v>211192900</v>
      </c>
      <c r="E114" s="348">
        <f t="shared" si="22"/>
        <v>216725296.01999998</v>
      </c>
      <c r="F114" s="348">
        <f t="shared" si="22"/>
        <v>11656950.889999997</v>
      </c>
      <c r="G114" s="348">
        <f t="shared" si="22"/>
        <v>127374447.91999999</v>
      </c>
      <c r="H114" s="348">
        <f t="shared" si="22"/>
        <v>148599728.95000002</v>
      </c>
      <c r="I114" s="34">
        <f t="shared" ref="I114:I132" si="23">G114-H114</f>
        <v>-21225281.030000031</v>
      </c>
      <c r="J114" s="351">
        <f t="shared" si="18"/>
        <v>-0.14283526073686037</v>
      </c>
      <c r="K114" s="707">
        <f t="shared" si="22"/>
        <v>216725296.01999998</v>
      </c>
      <c r="L114" s="353"/>
      <c r="M114" s="354"/>
      <c r="N114" s="354"/>
      <c r="O114" s="354"/>
      <c r="P114" s="354"/>
      <c r="Q114" s="354"/>
      <c r="R114" s="354"/>
      <c r="S114" s="354"/>
      <c r="T114" s="354"/>
      <c r="U114" s="354"/>
      <c r="V114" s="354"/>
      <c r="W114" s="354"/>
    </row>
    <row r="115" spans="1:23" ht="11.25" customHeight="1" x14ac:dyDescent="0.25">
      <c r="A115" s="30" t="str">
        <f>'Org structure'!E3</f>
        <v>1.1 - FX005001014 - Valuation Service (Finance and Administration) - BR</v>
      </c>
      <c r="B115" s="197"/>
      <c r="C115" s="332">
        <f>'C3Q'!O5</f>
        <v>4176344.34</v>
      </c>
      <c r="D115" s="704">
        <f>'C3Q'!P5</f>
        <v>4269600</v>
      </c>
      <c r="E115" s="365">
        <f>'C3Q'!Q5</f>
        <v>11029500</v>
      </c>
      <c r="F115" s="365">
        <f>'C3Q'!R5</f>
        <v>1354117.11</v>
      </c>
      <c r="G115" s="365">
        <f>'C3Q'!S5</f>
        <v>5523747.0499999998</v>
      </c>
      <c r="H115" s="365">
        <f>'C3Q'!T5</f>
        <v>4634181.0599999996</v>
      </c>
      <c r="I115" s="34">
        <f t="shared" si="23"/>
        <v>889565.99000000022</v>
      </c>
      <c r="J115" s="351">
        <f t="shared" si="18"/>
        <v>0.19195753866380014</v>
      </c>
      <c r="K115" s="332">
        <f>'C3Q'!W5</f>
        <v>11029500</v>
      </c>
      <c r="L115" s="704" t="str">
        <f>'C3Q'!A4</f>
        <v>VOTE1 - CITY DEVELOPMENT</v>
      </c>
      <c r="M115" s="365">
        <f>'C3Q'!B4</f>
        <v>-245280071.96000001</v>
      </c>
      <c r="N115" s="365">
        <f>'C3Q'!C4</f>
        <v>-81325600</v>
      </c>
      <c r="O115" s="365">
        <f>'C3Q'!D4</f>
        <v>-98239900</v>
      </c>
      <c r="P115" s="365">
        <f>'C3Q'!E4</f>
        <v>-20267267.41</v>
      </c>
      <c r="Q115" s="365">
        <f>'C3Q'!F4</f>
        <v>-47791187.420000002</v>
      </c>
      <c r="R115" s="365">
        <f>'C3Q'!G4</f>
        <v>-44384933.490000002</v>
      </c>
      <c r="S115" s="365">
        <f>'C3Q'!H4</f>
        <v>3406253.93</v>
      </c>
      <c r="T115" s="365">
        <f>'C3Q'!I4</f>
        <v>7.6743472664376897</v>
      </c>
      <c r="U115" s="365">
        <f>'C3Q'!J4</f>
        <v>-98239900</v>
      </c>
      <c r="V115" s="365">
        <f>'C3Q'!K4</f>
        <v>0</v>
      </c>
      <c r="W115" s="365">
        <f>'C3Q'!L4</f>
        <v>0</v>
      </c>
    </row>
    <row r="116" spans="1:23" ht="11.25" customHeight="1" x14ac:dyDescent="0.25">
      <c r="A116" s="30" t="str">
        <f>'Org structure'!E4</f>
        <v>1.2 - FX007001001 - Housing (Housing) - BT</v>
      </c>
      <c r="B116" s="197"/>
      <c r="C116" s="332">
        <f>'C3Q'!O6</f>
        <v>163790597.63</v>
      </c>
      <c r="D116" s="704">
        <f>'C3Q'!P6</f>
        <v>94938900</v>
      </c>
      <c r="E116" s="365">
        <f>'C3Q'!Q6</f>
        <v>96379953.040000007</v>
      </c>
      <c r="F116" s="365">
        <f>'C3Q'!R6</f>
        <v>2486516.38</v>
      </c>
      <c r="G116" s="365">
        <f>'C3Q'!S6</f>
        <v>37540503.340000004</v>
      </c>
      <c r="H116" s="365">
        <f>'C3Q'!T6</f>
        <v>54060184.719999999</v>
      </c>
      <c r="I116" s="34">
        <f t="shared" si="23"/>
        <v>-16519681.379999995</v>
      </c>
      <c r="J116" s="351">
        <f t="shared" si="18"/>
        <v>-0.30557944752801419</v>
      </c>
      <c r="K116" s="332">
        <f>'C3Q'!W6</f>
        <v>96379953.040000007</v>
      </c>
      <c r="L116" s="353"/>
      <c r="M116" s="354"/>
      <c r="N116" s="354"/>
      <c r="O116" s="354"/>
      <c r="P116" s="354"/>
      <c r="Q116" s="354"/>
      <c r="R116" s="354"/>
      <c r="S116" s="354"/>
      <c r="T116" s="354"/>
      <c r="U116" s="354"/>
      <c r="V116" s="354"/>
      <c r="W116" s="354"/>
    </row>
    <row r="117" spans="1:23" ht="11.25" customHeight="1" x14ac:dyDescent="0.25">
      <c r="A117" s="30" t="str">
        <f>'Org structure'!E5</f>
        <v>1.3 - FX009002006 - Tourism (Other) - BX</v>
      </c>
      <c r="B117" s="197"/>
      <c r="C117" s="332">
        <f>'C3Q'!O7</f>
        <v>3308420.04</v>
      </c>
      <c r="D117" s="704">
        <f>'C3Q'!P7</f>
        <v>3513400</v>
      </c>
      <c r="E117" s="365">
        <f>'C3Q'!Q7</f>
        <v>3532800.01</v>
      </c>
      <c r="F117" s="365">
        <f>'C3Q'!R7</f>
        <v>294763.98</v>
      </c>
      <c r="G117" s="365">
        <f>'C3Q'!S7</f>
        <v>2907952.36</v>
      </c>
      <c r="H117" s="365">
        <f>'C3Q'!T7</f>
        <v>2935764.05</v>
      </c>
      <c r="I117" s="34">
        <f t="shared" si="23"/>
        <v>-27811.689999999944</v>
      </c>
      <c r="J117" s="351">
        <f t="shared" si="18"/>
        <v>-9.4734077828904362E-3</v>
      </c>
      <c r="K117" s="332">
        <f>'C3Q'!W7</f>
        <v>3532800.01</v>
      </c>
      <c r="L117" s="353"/>
      <c r="M117" s="354"/>
      <c r="N117" s="354"/>
      <c r="O117" s="354"/>
      <c r="P117" s="354"/>
      <c r="Q117" s="354"/>
      <c r="R117" s="354"/>
      <c r="S117" s="354"/>
      <c r="T117" s="354"/>
      <c r="U117" s="354"/>
      <c r="V117" s="354"/>
      <c r="W117" s="354"/>
    </row>
    <row r="118" spans="1:23" ht="11.25" customHeight="1" x14ac:dyDescent="0.25">
      <c r="A118" s="30" t="str">
        <f>'Org structure'!E6</f>
        <v>1.4 - FX010001001 - Billboards (Planning and Development) - BY</v>
      </c>
      <c r="B118" s="197"/>
      <c r="C118" s="332">
        <f>'C3Q'!O8</f>
        <v>1903100.06</v>
      </c>
      <c r="D118" s="704">
        <f>'C3Q'!P8</f>
        <v>2525900</v>
      </c>
      <c r="E118" s="365">
        <f>'C3Q'!Q8</f>
        <v>2633239.96</v>
      </c>
      <c r="F118" s="365">
        <f>'C3Q'!R8</f>
        <v>165097.18</v>
      </c>
      <c r="G118" s="365">
        <f>'C3Q'!S8</f>
        <v>1870212.48</v>
      </c>
      <c r="H118" s="365">
        <f>'C3Q'!T8</f>
        <v>1887822.94</v>
      </c>
      <c r="I118" s="34">
        <f t="shared" si="23"/>
        <v>-17610.459999999963</v>
      </c>
      <c r="J118" s="351">
        <f t="shared" si="18"/>
        <v>-9.3284489910902147E-3</v>
      </c>
      <c r="K118" s="332">
        <f>'C3Q'!W8</f>
        <v>2633239.96</v>
      </c>
      <c r="L118" s="353"/>
      <c r="M118" s="354"/>
      <c r="N118" s="354"/>
      <c r="O118" s="354"/>
      <c r="P118" s="354"/>
      <c r="Q118" s="354"/>
      <c r="R118" s="354"/>
      <c r="S118" s="354"/>
      <c r="T118" s="354"/>
      <c r="U118" s="354"/>
      <c r="V118" s="354"/>
      <c r="W118" s="354"/>
    </row>
    <row r="119" spans="1:23" ht="11.25" customHeight="1" x14ac:dyDescent="0.25">
      <c r="A119" s="30" t="str">
        <f>'Org structure'!E7</f>
        <v>1.5 - FX010001002 - Corporate Wide Strategic Planning (IDPs, LEDs) (Planning and Development) - BZ</v>
      </c>
      <c r="B119" s="197"/>
      <c r="C119" s="332">
        <f>'C3Q'!O9</f>
        <v>24712913.140000001</v>
      </c>
      <c r="D119" s="704">
        <f>'C3Q'!P9</f>
        <v>24642500</v>
      </c>
      <c r="E119" s="365">
        <f>'C3Q'!Q9</f>
        <v>24199900</v>
      </c>
      <c r="F119" s="365">
        <f>'C3Q'!R9</f>
        <v>1590500.52</v>
      </c>
      <c r="G119" s="365">
        <f>'C3Q'!S9</f>
        <v>17269031.350000001</v>
      </c>
      <c r="H119" s="365">
        <f>'C3Q'!T9</f>
        <v>19965855.280000001</v>
      </c>
      <c r="I119" s="34">
        <f t="shared" si="23"/>
        <v>-2696823.9299999997</v>
      </c>
      <c r="J119" s="351">
        <f t="shared" si="18"/>
        <v>-0.13507179593260077</v>
      </c>
      <c r="K119" s="332">
        <f>'C3Q'!W9</f>
        <v>24199900</v>
      </c>
      <c r="L119" s="353"/>
      <c r="M119" s="354"/>
      <c r="N119" s="354"/>
      <c r="O119" s="354"/>
      <c r="P119" s="354"/>
      <c r="Q119" s="354"/>
      <c r="R119" s="354"/>
      <c r="S119" s="354"/>
      <c r="T119" s="354"/>
      <c r="U119" s="354"/>
      <c r="V119" s="354"/>
      <c r="W119" s="354"/>
    </row>
    <row r="120" spans="1:23" ht="11.25" customHeight="1" x14ac:dyDescent="0.25">
      <c r="A120" s="30" t="str">
        <f>'Org structure'!E8</f>
        <v>1.6 - FX010001004 - Development Facilitation (Planning and Deveopment) - CA</v>
      </c>
      <c r="B120" s="197"/>
      <c r="C120" s="332">
        <f>'C3Q'!O10</f>
        <v>5726001.9000000004</v>
      </c>
      <c r="D120" s="704">
        <f>'C3Q'!P10</f>
        <v>4668500</v>
      </c>
      <c r="E120" s="365">
        <f>'C3Q'!Q10</f>
        <v>4682052.4800000004</v>
      </c>
      <c r="F120" s="365">
        <f>'C3Q'!R10</f>
        <v>208727.55</v>
      </c>
      <c r="G120" s="365">
        <f>'C3Q'!S10</f>
        <v>4317263.83</v>
      </c>
      <c r="H120" s="365">
        <f>'C3Q'!T10</f>
        <v>5125151.84</v>
      </c>
      <c r="I120" s="34">
        <f t="shared" si="23"/>
        <v>-807888.00999999978</v>
      </c>
      <c r="J120" s="351">
        <f t="shared" si="18"/>
        <v>-0.15763201466436941</v>
      </c>
      <c r="K120" s="332">
        <f>'C3Q'!W10</f>
        <v>4682052.4800000004</v>
      </c>
      <c r="L120" s="353"/>
      <c r="M120" s="354"/>
      <c r="N120" s="354"/>
      <c r="O120" s="354"/>
      <c r="P120" s="354"/>
      <c r="Q120" s="354"/>
      <c r="R120" s="354"/>
      <c r="S120" s="354"/>
      <c r="T120" s="354"/>
      <c r="U120" s="354"/>
      <c r="V120" s="354"/>
      <c r="W120" s="354"/>
    </row>
    <row r="121" spans="1:23" ht="11.25" customHeight="1" x14ac:dyDescent="0.25">
      <c r="A121" s="30" t="str">
        <f>'Org structure'!E9</f>
        <v>1.7 - FX010001005 - Economic Development/Planning (Planning and Development) - CC</v>
      </c>
      <c r="B121" s="197"/>
      <c r="C121" s="332">
        <f>'C3Q'!O11</f>
        <v>138342900.41999999</v>
      </c>
      <c r="D121" s="704">
        <f>'C3Q'!P11</f>
        <v>30928400</v>
      </c>
      <c r="E121" s="365">
        <f>'C3Q'!Q11</f>
        <v>29525489.02</v>
      </c>
      <c r="F121" s="365">
        <f>'C3Q'!R11</f>
        <v>2088557.97</v>
      </c>
      <c r="G121" s="365">
        <f>'C3Q'!S11</f>
        <v>22581396.800000001</v>
      </c>
      <c r="H121" s="365">
        <f>'C3Q'!T11</f>
        <v>23337673.059999999</v>
      </c>
      <c r="I121" s="34">
        <f t="shared" si="23"/>
        <v>-756276.25999999791</v>
      </c>
      <c r="J121" s="351">
        <f t="shared" si="18"/>
        <v>-3.2405812612750606E-2</v>
      </c>
      <c r="K121" s="332">
        <f>'C3Q'!W11</f>
        <v>29525489.02</v>
      </c>
      <c r="L121" s="353"/>
      <c r="M121" s="354"/>
      <c r="N121" s="354"/>
      <c r="O121" s="354"/>
      <c r="P121" s="354"/>
      <c r="Q121" s="354"/>
      <c r="R121" s="354"/>
      <c r="S121" s="354"/>
      <c r="T121" s="354"/>
      <c r="U121" s="354"/>
      <c r="V121" s="354"/>
      <c r="W121" s="354"/>
    </row>
    <row r="122" spans="1:23" ht="11.25" customHeight="1" x14ac:dyDescent="0.25">
      <c r="A122" s="30" t="str">
        <f>'Org structure'!E10</f>
        <v>1.8 - FX010001006 - Town Planning, Building Regulations and Enforcement, and City Engineer (Planning and Development) - CD</v>
      </c>
      <c r="B122" s="197"/>
      <c r="C122" s="332">
        <f>'C3Q'!O12</f>
        <v>25122216.899999999</v>
      </c>
      <c r="D122" s="704">
        <f>'C3Q'!P12</f>
        <v>27048000</v>
      </c>
      <c r="E122" s="365">
        <f>'C3Q'!Q12</f>
        <v>27823278.48</v>
      </c>
      <c r="F122" s="365">
        <f>'C3Q'!R12</f>
        <v>2256346.2999999998</v>
      </c>
      <c r="G122" s="365">
        <f>'C3Q'!S12</f>
        <v>23169683.18</v>
      </c>
      <c r="H122" s="365">
        <f>'C3Q'!T12</f>
        <v>23226590.760000002</v>
      </c>
      <c r="I122" s="34">
        <f t="shared" si="23"/>
        <v>-56907.580000001937</v>
      </c>
      <c r="J122" s="351">
        <f t="shared" si="18"/>
        <v>-2.4501047350438585E-3</v>
      </c>
      <c r="K122" s="332">
        <f>'C3Q'!W12</f>
        <v>27823278.48</v>
      </c>
      <c r="L122" s="353"/>
      <c r="M122" s="354"/>
      <c r="N122" s="354"/>
      <c r="O122" s="354"/>
      <c r="P122" s="354"/>
      <c r="Q122" s="354"/>
      <c r="R122" s="354"/>
      <c r="S122" s="354"/>
      <c r="T122" s="354"/>
      <c r="U122" s="354"/>
      <c r="V122" s="354"/>
      <c r="W122" s="354"/>
    </row>
    <row r="123" spans="1:23" ht="11.25" customHeight="1" x14ac:dyDescent="0.25">
      <c r="A123" s="30" t="str">
        <f>'Org structure'!E11</f>
        <v>1.9 - FX003001003 - Pollution Control (Environmental Protection) - AR</v>
      </c>
      <c r="B123" s="197"/>
      <c r="C123" s="332">
        <f>'C3Q'!O13</f>
        <v>5929627.96</v>
      </c>
      <c r="D123" s="704">
        <f>'C3Q'!P13</f>
        <v>8274100</v>
      </c>
      <c r="E123" s="365">
        <f>'C3Q'!Q13</f>
        <v>7020882.7300000004</v>
      </c>
      <c r="F123" s="365">
        <f>'C3Q'!R13</f>
        <v>465375.67</v>
      </c>
      <c r="G123" s="365">
        <f>'C3Q'!S13</f>
        <v>4623386.84</v>
      </c>
      <c r="H123" s="365">
        <f>'C3Q'!T13</f>
        <v>5508925</v>
      </c>
      <c r="I123" s="34">
        <f t="shared" si="23"/>
        <v>-885538.16000000015</v>
      </c>
      <c r="J123" s="351">
        <f t="shared" si="18"/>
        <v>-0.16074609111578034</v>
      </c>
      <c r="K123" s="332">
        <f>'C3Q'!W13</f>
        <v>7020882.7300000004</v>
      </c>
      <c r="L123" s="353"/>
      <c r="M123" s="354"/>
      <c r="N123" s="354"/>
      <c r="O123" s="354"/>
      <c r="P123" s="354"/>
      <c r="Q123" s="354"/>
      <c r="R123" s="354"/>
      <c r="S123" s="354"/>
      <c r="T123" s="354"/>
      <c r="U123" s="354"/>
      <c r="V123" s="354"/>
      <c r="W123" s="354"/>
    </row>
    <row r="124" spans="1:23" ht="11.25" customHeight="1" x14ac:dyDescent="0.25">
      <c r="A124" s="30" t="str">
        <f>'Org structure'!E12</f>
        <v>1.10 - FX005001010 - Property Services (Finance and Administration) - BN</v>
      </c>
      <c r="B124" s="197"/>
      <c r="C124" s="332">
        <f>'C3Q'!O14</f>
        <v>2849313.42</v>
      </c>
      <c r="D124" s="704">
        <f>'C3Q'!P14</f>
        <v>747300</v>
      </c>
      <c r="E124" s="365">
        <f>'C3Q'!Q14</f>
        <v>709300.3</v>
      </c>
      <c r="F124" s="365">
        <f>'C3Q'!R14</f>
        <v>53582.400000000001</v>
      </c>
      <c r="G124" s="365">
        <f>'C3Q'!S14</f>
        <v>533589.4</v>
      </c>
      <c r="H124" s="365">
        <f>'C3Q'!T14</f>
        <v>581731.31999999995</v>
      </c>
      <c r="I124" s="34">
        <f t="shared" si="23"/>
        <v>-48141.919999999925</v>
      </c>
      <c r="J124" s="351">
        <f t="shared" si="18"/>
        <v>-8.2756279995376436E-2</v>
      </c>
      <c r="K124" s="332">
        <f>'C3Q'!W14</f>
        <v>709300.3</v>
      </c>
      <c r="L124" s="353"/>
      <c r="M124" s="354"/>
      <c r="N124" s="354"/>
      <c r="O124" s="354"/>
      <c r="P124" s="354"/>
      <c r="Q124" s="354"/>
      <c r="R124" s="354"/>
      <c r="S124" s="354"/>
      <c r="T124" s="354"/>
      <c r="U124" s="354"/>
      <c r="V124" s="354"/>
      <c r="W124" s="354"/>
    </row>
    <row r="125" spans="1:23" ht="11.25" customHeight="1" x14ac:dyDescent="0.25">
      <c r="A125" s="30" t="str">
        <f>'Org structure'!E13</f>
        <v>1.11 - FX009001004 - Licensing and Regulation (Other) - BW</v>
      </c>
      <c r="B125" s="197"/>
      <c r="C125" s="332">
        <f>'C3Q'!O15</f>
        <v>1062292.45</v>
      </c>
      <c r="D125" s="704">
        <f>'C3Q'!P15</f>
        <v>1491500</v>
      </c>
      <c r="E125" s="365">
        <f>'C3Q'!Q15</f>
        <v>1454000</v>
      </c>
      <c r="F125" s="365">
        <f>'C3Q'!R15</f>
        <v>96357.28</v>
      </c>
      <c r="G125" s="365">
        <f>'C3Q'!S15</f>
        <v>1091215.29</v>
      </c>
      <c r="H125" s="365">
        <f>'C3Q'!T15</f>
        <v>1152343.19</v>
      </c>
      <c r="I125" s="34">
        <f t="shared" si="23"/>
        <v>-61127.899999999907</v>
      </c>
      <c r="J125" s="351">
        <f t="shared" si="18"/>
        <v>-5.304661018563394E-2</v>
      </c>
      <c r="K125" s="332">
        <f>'C3Q'!W15</f>
        <v>1454000</v>
      </c>
      <c r="L125" s="353"/>
      <c r="M125" s="354"/>
      <c r="N125" s="354"/>
      <c r="O125" s="354"/>
      <c r="P125" s="354"/>
      <c r="Q125" s="354"/>
      <c r="R125" s="354"/>
      <c r="S125" s="354"/>
      <c r="T125" s="354"/>
      <c r="U125" s="354"/>
      <c r="V125" s="354"/>
      <c r="W125" s="354"/>
    </row>
    <row r="126" spans="1:23" ht="11.25" customHeight="1" x14ac:dyDescent="0.25">
      <c r="A126" s="30" t="str">
        <f>'Org structure'!E14</f>
        <v>1.12 - FX012001003001 - Public Transport Facilities and Operations Coordination (Road Transport) - DX</v>
      </c>
      <c r="B126" s="197"/>
      <c r="C126" s="332">
        <f>'C3Q'!O16</f>
        <v>4585827.6500000004</v>
      </c>
      <c r="D126" s="704">
        <f>'C3Q'!P16</f>
        <v>5470800</v>
      </c>
      <c r="E126" s="365">
        <f>'C3Q'!Q16</f>
        <v>5060900</v>
      </c>
      <c r="F126" s="365">
        <f>'C3Q'!R16</f>
        <v>404338.95</v>
      </c>
      <c r="G126" s="365">
        <f>'C3Q'!S16</f>
        <v>4275865.18</v>
      </c>
      <c r="H126" s="365">
        <f>'C3Q'!T16</f>
        <v>4289896.7699999996</v>
      </c>
      <c r="I126" s="34">
        <f t="shared" si="23"/>
        <v>-14031.589999999851</v>
      </c>
      <c r="J126" s="351">
        <f t="shared" si="18"/>
        <v>-3.270845605918823E-3</v>
      </c>
      <c r="K126" s="332">
        <f>'C3Q'!W16</f>
        <v>5060900</v>
      </c>
      <c r="L126" s="353"/>
      <c r="M126" s="354"/>
      <c r="N126" s="354"/>
      <c r="O126" s="354"/>
      <c r="P126" s="354"/>
      <c r="Q126" s="354"/>
      <c r="R126" s="354"/>
      <c r="S126" s="354"/>
      <c r="T126" s="354"/>
      <c r="U126" s="354"/>
      <c r="V126" s="354"/>
      <c r="W126" s="354"/>
    </row>
    <row r="127" spans="1:23" ht="11.25" customHeight="1" x14ac:dyDescent="0.25">
      <c r="A127" s="30" t="str">
        <f>'Org structure'!E15</f>
        <v>1.13 - FX010001007003 - Project Management Unit - Expanded Public Works Programme (Planning and Development) - CG</v>
      </c>
      <c r="B127" s="197"/>
      <c r="C127" s="332">
        <f>'C3Q'!O17</f>
        <v>2916000</v>
      </c>
      <c r="D127" s="704">
        <f>'C3Q'!P17</f>
        <v>2674000</v>
      </c>
      <c r="E127" s="365">
        <f>'C3Q'!Q17</f>
        <v>2674000</v>
      </c>
      <c r="F127" s="365">
        <f>'C3Q'!R17</f>
        <v>192669.6</v>
      </c>
      <c r="G127" s="365">
        <f>'C3Q'!S17</f>
        <v>1670600.82</v>
      </c>
      <c r="H127" s="365">
        <f>'C3Q'!T17</f>
        <v>1893608.96</v>
      </c>
      <c r="I127" s="34">
        <f t="shared" si="23"/>
        <v>-223008.1399999999</v>
      </c>
      <c r="J127" s="351">
        <f t="shared" si="18"/>
        <v>-0.11776884494674122</v>
      </c>
      <c r="K127" s="332">
        <f>'C3Q'!W17</f>
        <v>2674000</v>
      </c>
      <c r="L127" s="353"/>
      <c r="M127" s="354"/>
      <c r="N127" s="354"/>
      <c r="O127" s="354"/>
      <c r="P127" s="354"/>
      <c r="Q127" s="354"/>
      <c r="R127" s="354"/>
      <c r="S127" s="354"/>
      <c r="T127" s="354"/>
      <c r="U127" s="354"/>
      <c r="V127" s="354"/>
      <c r="W127" s="354"/>
    </row>
    <row r="128" spans="1:23" ht="11.25" customHeight="1" x14ac:dyDescent="0.25">
      <c r="A128" s="66" t="str">
        <f>'Org structure'!A3</f>
        <v>Vote 2 - COMMUNITY SERVICES - PUBLIC HEALTH AND EMERGENCY SERVICES</v>
      </c>
      <c r="B128" s="132"/>
      <c r="C128" s="707">
        <f t="shared" ref="C128:H128" si="24">SUM(C129:C135)</f>
        <v>326198257.19999999</v>
      </c>
      <c r="D128" s="723">
        <f t="shared" si="24"/>
        <v>373205200</v>
      </c>
      <c r="E128" s="349">
        <f t="shared" si="24"/>
        <v>349574524.74000001</v>
      </c>
      <c r="F128" s="350">
        <f t="shared" si="24"/>
        <v>25631135.530000005</v>
      </c>
      <c r="G128" s="349">
        <f t="shared" si="24"/>
        <v>270808293.25</v>
      </c>
      <c r="H128" s="350">
        <f t="shared" si="24"/>
        <v>277598685.31999999</v>
      </c>
      <c r="I128" s="34">
        <f t="shared" si="23"/>
        <v>-6790392.0699999928</v>
      </c>
      <c r="J128" s="351">
        <f t="shared" si="18"/>
        <v>-2.4461182379781139E-2</v>
      </c>
      <c r="K128" s="707">
        <f>SUM(K129:K135)</f>
        <v>349574524.74000001</v>
      </c>
      <c r="L128" s="353"/>
      <c r="M128" s="354"/>
      <c r="N128" s="354"/>
      <c r="O128" s="354"/>
      <c r="P128" s="354"/>
      <c r="Q128" s="354"/>
      <c r="R128" s="354"/>
      <c r="S128" s="354"/>
      <c r="T128" s="354"/>
      <c r="U128" s="354"/>
      <c r="V128" s="354"/>
      <c r="W128" s="354"/>
    </row>
    <row r="129" spans="1:23" ht="11.25" customHeight="1" x14ac:dyDescent="0.25">
      <c r="A129" s="30" t="str">
        <f>'Org structure'!E17</f>
        <v>2,1 - FX001002008 - Disaster Management (Community and Social Services) - AH</v>
      </c>
      <c r="B129" s="197"/>
      <c r="C129" s="332">
        <f>'C3Q'!O19</f>
        <v>2504008.2599999998</v>
      </c>
      <c r="D129" s="704">
        <f>'C3Q'!P19</f>
        <v>4187600</v>
      </c>
      <c r="E129" s="365">
        <f>'C3Q'!Q19</f>
        <v>3534372.39</v>
      </c>
      <c r="F129" s="365">
        <f>'C3Q'!R19</f>
        <v>263207.36</v>
      </c>
      <c r="G129" s="365">
        <f>'C3Q'!S19</f>
        <v>2704294.08</v>
      </c>
      <c r="H129" s="365">
        <f>'C3Q'!T19</f>
        <v>2800570.82</v>
      </c>
      <c r="I129" s="34">
        <f t="shared" si="23"/>
        <v>-96276.739999999758</v>
      </c>
      <c r="J129" s="351">
        <f t="shared" si="18"/>
        <v>-3.4377541647027429E-2</v>
      </c>
      <c r="K129" s="332">
        <f>'C3Q'!W19</f>
        <v>3534372.39</v>
      </c>
      <c r="L129" s="353"/>
      <c r="M129" s="354"/>
      <c r="N129" s="354"/>
      <c r="O129" s="354"/>
      <c r="P129" s="354"/>
      <c r="Q129" s="354"/>
      <c r="R129" s="354"/>
      <c r="S129" s="354"/>
      <c r="T129" s="354"/>
      <c r="U129" s="354"/>
      <c r="V129" s="354"/>
      <c r="W129" s="354"/>
    </row>
    <row r="130" spans="1:23" ht="11.25" customHeight="1" x14ac:dyDescent="0.25">
      <c r="A130" s="30" t="str">
        <f>'Org structure'!E18</f>
        <v>2,2 - FX011001005 - Fire Fighting and Protection (Public Safety) - CK</v>
      </c>
      <c r="B130" s="197"/>
      <c r="C130" s="332">
        <f>'C3Q'!O20</f>
        <v>118358522.88</v>
      </c>
      <c r="D130" s="704">
        <f>'C3Q'!P20</f>
        <v>122121400</v>
      </c>
      <c r="E130" s="365">
        <f>'C3Q'!Q20</f>
        <v>119998596.16</v>
      </c>
      <c r="F130" s="365">
        <f>'C3Q'!R20</f>
        <v>8940695.9000000004</v>
      </c>
      <c r="G130" s="365">
        <f>'C3Q'!S20</f>
        <v>94322059</v>
      </c>
      <c r="H130" s="365">
        <f>'C3Q'!T20</f>
        <v>96780850.769999996</v>
      </c>
      <c r="I130" s="34">
        <f t="shared" si="23"/>
        <v>-2458791.7699999958</v>
      </c>
      <c r="J130" s="351">
        <f t="shared" si="18"/>
        <v>-2.5405767261163288E-2</v>
      </c>
      <c r="K130" s="332">
        <f>'C3Q'!W20</f>
        <v>119998596.16</v>
      </c>
      <c r="L130" s="353"/>
      <c r="M130" s="354"/>
      <c r="N130" s="354"/>
      <c r="O130" s="354"/>
      <c r="P130" s="354"/>
      <c r="Q130" s="354"/>
      <c r="R130" s="354"/>
      <c r="S130" s="354"/>
      <c r="T130" s="354"/>
      <c r="U130" s="354"/>
      <c r="V130" s="354"/>
      <c r="W130" s="354"/>
    </row>
    <row r="131" spans="1:23" ht="11.25" customHeight="1" x14ac:dyDescent="0.25">
      <c r="A131" s="30" t="str">
        <f>'Org structure'!E19</f>
        <v>2,3 - FX012001005 - Taxi Ranks (Road Transport) - CP</v>
      </c>
      <c r="B131" s="197"/>
      <c r="C131" s="332">
        <f>'C3Q'!O21</f>
        <v>5531096.6600000001</v>
      </c>
      <c r="D131" s="704">
        <f>'C3Q'!P21</f>
        <v>24495500</v>
      </c>
      <c r="E131" s="365">
        <f>'C3Q'!Q21</f>
        <v>11265868.890000001</v>
      </c>
      <c r="F131" s="365">
        <f>'C3Q'!R21</f>
        <v>1476907.81</v>
      </c>
      <c r="G131" s="365">
        <f>'C3Q'!S21</f>
        <v>4343928.6900000004</v>
      </c>
      <c r="H131" s="365">
        <f>'C3Q'!T21</f>
        <v>6111494.9500000002</v>
      </c>
      <c r="I131" s="34">
        <f t="shared" si="23"/>
        <v>-1767566.2599999998</v>
      </c>
      <c r="J131" s="351">
        <f t="shared" si="18"/>
        <v>-0.28921994936770745</v>
      </c>
      <c r="K131" s="332">
        <f>'C3Q'!W21</f>
        <v>11265868.890000001</v>
      </c>
      <c r="L131" s="353"/>
      <c r="M131" s="354"/>
      <c r="N131" s="354"/>
      <c r="O131" s="354"/>
      <c r="P131" s="354"/>
      <c r="Q131" s="354"/>
      <c r="R131" s="354"/>
      <c r="S131" s="354"/>
      <c r="T131" s="354"/>
      <c r="U131" s="354"/>
      <c r="V131" s="354"/>
      <c r="W131" s="354"/>
    </row>
    <row r="132" spans="1:23" ht="11.25" customHeight="1" x14ac:dyDescent="0.25">
      <c r="A132" s="30" t="str">
        <f>'Org structure'!E20</f>
        <v>2,4 - FX014001003 - Solid Waste Removal (Waste Management) - DC</v>
      </c>
      <c r="B132" s="197"/>
      <c r="C132" s="332">
        <f>'C3Q'!O22</f>
        <v>146131408.72</v>
      </c>
      <c r="D132" s="704">
        <f>'C3Q'!P22</f>
        <v>163661400</v>
      </c>
      <c r="E132" s="365">
        <f>'C3Q'!Q22</f>
        <v>156977670.06999999</v>
      </c>
      <c r="F132" s="365">
        <f>'C3Q'!R22</f>
        <v>11090058.42</v>
      </c>
      <c r="G132" s="365">
        <f>'C3Q'!S22</f>
        <v>126022814.61</v>
      </c>
      <c r="H132" s="365">
        <f>'C3Q'!T22</f>
        <v>127299840.56</v>
      </c>
      <c r="I132" s="34">
        <f t="shared" si="23"/>
        <v>-1277025.950000003</v>
      </c>
      <c r="J132" s="351">
        <f t="shared" si="18"/>
        <v>-1.0031638251723533E-2</v>
      </c>
      <c r="K132" s="332">
        <f>'C3Q'!W22</f>
        <v>156977670.06999999</v>
      </c>
      <c r="L132" s="353"/>
      <c r="M132" s="354"/>
      <c r="N132" s="354"/>
      <c r="O132" s="354"/>
      <c r="P132" s="354"/>
      <c r="Q132" s="354"/>
      <c r="R132" s="354"/>
      <c r="S132" s="354"/>
      <c r="T132" s="354"/>
      <c r="U132" s="354"/>
      <c r="V132" s="354"/>
      <c r="W132" s="354"/>
    </row>
    <row r="133" spans="1:23" ht="11.25" customHeight="1" x14ac:dyDescent="0.25">
      <c r="A133" s="30" t="str">
        <f>'Org structure'!E21</f>
        <v>2,5 - FX014001004 - Street Cleansing (Waste Management) - DE</v>
      </c>
      <c r="B133" s="197"/>
      <c r="C133" s="332">
        <f>'C3Q'!O23</f>
        <v>45189983.770000003</v>
      </c>
      <c r="D133" s="704">
        <f>'C3Q'!P23</f>
        <v>48151500</v>
      </c>
      <c r="E133" s="365">
        <f>'C3Q'!Q23</f>
        <v>47480628.600000001</v>
      </c>
      <c r="F133" s="365">
        <f>'C3Q'!R23</f>
        <v>3115034.92</v>
      </c>
      <c r="G133" s="365">
        <f>'C3Q'!S23</f>
        <v>34845287.140000001</v>
      </c>
      <c r="H133" s="365">
        <f>'C3Q'!T23</f>
        <v>36105200.859999999</v>
      </c>
      <c r="I133" s="34">
        <f t="shared" ref="I133:I154" si="25">G133-H133</f>
        <v>-1259913.7199999988</v>
      </c>
      <c r="J133" s="351">
        <f t="shared" si="18"/>
        <v>-3.4895629715103564E-2</v>
      </c>
      <c r="K133" s="332">
        <f>'C3Q'!W23</f>
        <v>47480628.600000001</v>
      </c>
      <c r="L133" s="353"/>
      <c r="M133" s="354"/>
      <c r="N133" s="354"/>
      <c r="O133" s="354"/>
      <c r="P133" s="354"/>
      <c r="Q133" s="354"/>
      <c r="R133" s="354"/>
      <c r="S133" s="354"/>
      <c r="T133" s="354"/>
      <c r="U133" s="354"/>
      <c r="V133" s="354"/>
      <c r="W133" s="354"/>
    </row>
    <row r="134" spans="1:23" ht="11.25" customHeight="1" x14ac:dyDescent="0.25">
      <c r="A134" s="30" t="str">
        <f>'Org structure'!E22</f>
        <v>2,6 - FX015001001 - Public Toilets (Waste Water Management) - DF</v>
      </c>
      <c r="B134" s="197"/>
      <c r="C134" s="332">
        <f>'C3Q'!O24</f>
        <v>2066999.92</v>
      </c>
      <c r="D134" s="704">
        <f>'C3Q'!P24</f>
        <v>3405600</v>
      </c>
      <c r="E134" s="365">
        <f>'C3Q'!Q24</f>
        <v>3254288.63</v>
      </c>
      <c r="F134" s="365">
        <f>'C3Q'!R24</f>
        <v>262067.07</v>
      </c>
      <c r="G134" s="365">
        <f>'C3Q'!S24</f>
        <v>2677276.5299999998</v>
      </c>
      <c r="H134" s="365">
        <f>'C3Q'!T24</f>
        <v>2737986.72</v>
      </c>
      <c r="I134" s="34">
        <f t="shared" si="25"/>
        <v>-60710.19000000041</v>
      </c>
      <c r="J134" s="351">
        <f t="shared" si="18"/>
        <v>-2.217329600488362E-2</v>
      </c>
      <c r="K134" s="332">
        <f>'C3Q'!W24</f>
        <v>3254288.63</v>
      </c>
      <c r="L134" s="353"/>
      <c r="M134" s="354"/>
      <c r="N134" s="354"/>
      <c r="O134" s="354"/>
      <c r="P134" s="354"/>
      <c r="Q134" s="354"/>
      <c r="R134" s="354"/>
      <c r="S134" s="354"/>
      <c r="T134" s="354"/>
      <c r="U134" s="354"/>
      <c r="V134" s="354"/>
      <c r="W134" s="354"/>
    </row>
    <row r="135" spans="1:23" ht="11.25" customHeight="1" x14ac:dyDescent="0.25">
      <c r="A135" s="30" t="str">
        <f>'Org structure'!E23</f>
        <v>2,7 - FX006001001 - Public Health and Emergency Services (Environmental Protection) - DY</v>
      </c>
      <c r="B135" s="197"/>
      <c r="C135" s="332">
        <f>'C3Q'!O25</f>
        <v>6416236.9900000002</v>
      </c>
      <c r="D135" s="704">
        <f>'C3Q'!P25</f>
        <v>7182200</v>
      </c>
      <c r="E135" s="365">
        <f>'C3Q'!Q25</f>
        <v>7063100</v>
      </c>
      <c r="F135" s="365">
        <f>'C3Q'!R25</f>
        <v>483164.05</v>
      </c>
      <c r="G135" s="365">
        <f>'C3Q'!S25</f>
        <v>5892633.2000000002</v>
      </c>
      <c r="H135" s="365">
        <f>'C3Q'!T25</f>
        <v>5762740.6399999997</v>
      </c>
      <c r="I135" s="34">
        <f t="shared" si="25"/>
        <v>129892.56000000052</v>
      </c>
      <c r="J135" s="351">
        <f t="shared" si="18"/>
        <v>2.2540066977576233E-2</v>
      </c>
      <c r="K135" s="332">
        <f>'C3Q'!W25</f>
        <v>7063100</v>
      </c>
      <c r="L135" s="353"/>
      <c r="M135" s="354"/>
      <c r="N135" s="354"/>
      <c r="O135" s="354"/>
      <c r="P135" s="354"/>
      <c r="Q135" s="354"/>
      <c r="R135" s="354"/>
      <c r="S135" s="354"/>
      <c r="T135" s="354"/>
      <c r="U135" s="354"/>
      <c r="V135" s="354"/>
      <c r="W135" s="354"/>
    </row>
    <row r="136" spans="1:23" ht="11.25" customHeight="1" x14ac:dyDescent="0.25">
      <c r="A136" s="66" t="str">
        <f>'Org structure'!A4</f>
        <v>Vote 3 - COMMUNITY SERVICES - PROTECTION SERVICES</v>
      </c>
      <c r="B136" s="132"/>
      <c r="C136" s="707">
        <f t="shared" ref="C136:H136" si="26">SUM(C137:C140)</f>
        <v>146125931.03</v>
      </c>
      <c r="D136" s="723">
        <f t="shared" si="26"/>
        <v>161604300</v>
      </c>
      <c r="E136" s="349">
        <f t="shared" si="26"/>
        <v>173550876.19999999</v>
      </c>
      <c r="F136" s="350">
        <f t="shared" si="26"/>
        <v>10090970.029999999</v>
      </c>
      <c r="G136" s="349">
        <f t="shared" si="26"/>
        <v>105944499.79000001</v>
      </c>
      <c r="H136" s="350">
        <f t="shared" si="26"/>
        <v>125435111.45999999</v>
      </c>
      <c r="I136" s="34">
        <f t="shared" si="25"/>
        <v>-19490611.669999987</v>
      </c>
      <c r="J136" s="351">
        <f t="shared" si="18"/>
        <v>-0.15538401842306609</v>
      </c>
      <c r="K136" s="707">
        <f>SUM(K137:K140)</f>
        <v>173550876.19999999</v>
      </c>
      <c r="L136" s="353"/>
      <c r="M136" s="354"/>
      <c r="N136" s="354"/>
      <c r="O136" s="354"/>
      <c r="P136" s="354"/>
      <c r="Q136" s="354"/>
      <c r="R136" s="354"/>
      <c r="S136" s="354"/>
      <c r="T136" s="354"/>
      <c r="U136" s="354"/>
      <c r="V136" s="354"/>
      <c r="W136" s="354"/>
    </row>
    <row r="137" spans="1:23" ht="11.25" customHeight="1" x14ac:dyDescent="0.25">
      <c r="A137" s="30" t="str">
        <f>'Org structure'!E28</f>
        <v>3,1 - FX005001012 - Security Services (Finance and Administration) - BP</v>
      </c>
      <c r="B137" s="197"/>
      <c r="C137" s="332">
        <f>'C3Q'!O27</f>
        <v>38461200.210000001</v>
      </c>
      <c r="D137" s="704">
        <f>'C3Q'!P27</f>
        <v>37445300</v>
      </c>
      <c r="E137" s="365">
        <f>'C3Q'!Q27</f>
        <v>46012294.75</v>
      </c>
      <c r="F137" s="365">
        <f>'C3Q'!R27</f>
        <v>2614565.98</v>
      </c>
      <c r="G137" s="365">
        <f>'C3Q'!S27</f>
        <v>31382744.379999999</v>
      </c>
      <c r="H137" s="365">
        <f>'C3Q'!T27</f>
        <v>41903366.530000001</v>
      </c>
      <c r="I137" s="34">
        <f t="shared" si="25"/>
        <v>-10520622.150000002</v>
      </c>
      <c r="J137" s="351">
        <f t="shared" si="18"/>
        <v>-0.25106866157085356</v>
      </c>
      <c r="K137" s="332">
        <f>'C3Q'!W27</f>
        <v>46012294.75</v>
      </c>
      <c r="L137" s="704" t="e">
        <f>'C3Q'!#REF!</f>
        <v>#REF!</v>
      </c>
      <c r="M137" s="365" t="str">
        <f>'C3Q'!A26</f>
        <v>VOTE3 - COMMUNITY SERVICES - PROTECTION SERVICES</v>
      </c>
      <c r="N137" s="365" t="e">
        <f>'C3Q'!#REF!</f>
        <v>#REF!</v>
      </c>
      <c r="O137" s="365" t="e">
        <f>'C3Q'!#REF!</f>
        <v>#REF!</v>
      </c>
      <c r="P137" s="365" t="e">
        <f>'C3Q'!#REF!</f>
        <v>#REF!</v>
      </c>
      <c r="Q137" s="365" t="e">
        <f>'C3Q'!#REF!</f>
        <v>#REF!</v>
      </c>
      <c r="R137" s="365" t="e">
        <f>'C3Q'!#REF!</f>
        <v>#REF!</v>
      </c>
      <c r="S137" s="365" t="e">
        <f>'C3Q'!#REF!</f>
        <v>#REF!</v>
      </c>
      <c r="T137" s="365" t="e">
        <f>'C3Q'!#REF!</f>
        <v>#REF!</v>
      </c>
      <c r="U137" s="365" t="e">
        <f>'C3Q'!#REF!</f>
        <v>#REF!</v>
      </c>
      <c r="V137" s="365" t="e">
        <f>'C3Q'!#REF!</f>
        <v>#REF!</v>
      </c>
      <c r="W137" s="365" t="e">
        <f>'C3Q'!#REF!</f>
        <v>#REF!</v>
      </c>
    </row>
    <row r="138" spans="1:23" ht="11.25" customHeight="1" x14ac:dyDescent="0.25">
      <c r="A138" s="30" t="str">
        <f>'Org structure'!E29</f>
        <v>3,2 - FX011001007 - Police Forces, Traffic and Street Parking Control (Road Transport) - CQ</v>
      </c>
      <c r="B138" s="197"/>
      <c r="C138" s="332">
        <f>'C3Q'!O28</f>
        <v>85378453.269999996</v>
      </c>
      <c r="D138" s="704">
        <f>'C3Q'!P28</f>
        <v>100977300</v>
      </c>
      <c r="E138" s="365">
        <f>'C3Q'!Q28</f>
        <v>105558232.31</v>
      </c>
      <c r="F138" s="365">
        <f>'C3Q'!R28</f>
        <v>5703085.6900000004</v>
      </c>
      <c r="G138" s="365">
        <f>'C3Q'!S28</f>
        <v>57131588.68</v>
      </c>
      <c r="H138" s="365">
        <f>'C3Q'!T28</f>
        <v>65899332.359999999</v>
      </c>
      <c r="I138" s="34">
        <f t="shared" si="25"/>
        <v>-8767743.6799999997</v>
      </c>
      <c r="J138" s="351">
        <f t="shared" si="18"/>
        <v>-0.13304753426184787</v>
      </c>
      <c r="K138" s="332">
        <f>'C3Q'!W28</f>
        <v>105558232.31</v>
      </c>
      <c r="L138" s="353"/>
      <c r="M138" s="354"/>
      <c r="N138" s="354"/>
      <c r="O138" s="354"/>
      <c r="P138" s="354"/>
      <c r="Q138" s="354"/>
      <c r="R138" s="354"/>
      <c r="S138" s="354"/>
      <c r="T138" s="354"/>
      <c r="U138" s="354"/>
      <c r="V138" s="354"/>
      <c r="W138" s="354"/>
    </row>
    <row r="139" spans="1:23" ht="11.25" customHeight="1" x14ac:dyDescent="0.25">
      <c r="A139" s="30" t="str">
        <f>'Org structure'!E30</f>
        <v>3,3 - FX012002001 - Road and Traffic Regulation (Road Transport) - CR</v>
      </c>
      <c r="B139" s="197"/>
      <c r="C139" s="332">
        <f>'C3Q'!O29</f>
        <v>21367645.640000001</v>
      </c>
      <c r="D139" s="704">
        <f>'C3Q'!P29</f>
        <v>22145100</v>
      </c>
      <c r="E139" s="365">
        <f>'C3Q'!Q29</f>
        <v>20943749.140000001</v>
      </c>
      <c r="F139" s="365">
        <f>'C3Q'!R29</f>
        <v>1700451.69</v>
      </c>
      <c r="G139" s="365">
        <f>'C3Q'!S29</f>
        <v>16862900.030000001</v>
      </c>
      <c r="H139" s="365">
        <f>'C3Q'!T29</f>
        <v>17083845.879999999</v>
      </c>
      <c r="I139" s="34">
        <f t="shared" si="25"/>
        <v>-220945.84999999776</v>
      </c>
      <c r="J139" s="351">
        <f t="shared" si="18"/>
        <v>-1.2933027583599214E-2</v>
      </c>
      <c r="K139" s="332">
        <f>'C3Q'!W29</f>
        <v>20943749.140000001</v>
      </c>
      <c r="L139" s="353"/>
      <c r="M139" s="354"/>
      <c r="N139" s="354"/>
      <c r="O139" s="354"/>
      <c r="P139" s="354"/>
      <c r="Q139" s="354"/>
      <c r="R139" s="354"/>
      <c r="S139" s="354"/>
      <c r="T139" s="354"/>
      <c r="U139" s="354"/>
      <c r="V139" s="354"/>
      <c r="W139" s="354"/>
    </row>
    <row r="140" spans="1:23" ht="11.25" customHeight="1" x14ac:dyDescent="0.25">
      <c r="A140" s="30" t="str">
        <f>'Org structure'!E31</f>
        <v>3,4 - FX011001006 - Public Safety Licensing and Control of Animals - CU</v>
      </c>
      <c r="B140" s="197"/>
      <c r="C140" s="332">
        <f>'C3Q'!O30</f>
        <v>918631.91</v>
      </c>
      <c r="D140" s="704">
        <f>'C3Q'!P30</f>
        <v>1036600</v>
      </c>
      <c r="E140" s="365">
        <f>'C3Q'!Q30</f>
        <v>1036600</v>
      </c>
      <c r="F140" s="365">
        <f>'C3Q'!R30</f>
        <v>72866.67</v>
      </c>
      <c r="G140" s="365">
        <f>'C3Q'!S30</f>
        <v>567266.69999999995</v>
      </c>
      <c r="H140" s="365">
        <f>'C3Q'!T30</f>
        <v>548566.68999999994</v>
      </c>
      <c r="I140" s="34">
        <f t="shared" si="25"/>
        <v>18700.010000000009</v>
      </c>
      <c r="J140" s="351">
        <f t="shared" si="18"/>
        <v>3.4088854356067469E-2</v>
      </c>
      <c r="K140" s="332">
        <f>'C3Q'!W30</f>
        <v>1036600</v>
      </c>
      <c r="L140" s="353"/>
      <c r="M140" s="354"/>
      <c r="N140" s="354"/>
      <c r="O140" s="354"/>
      <c r="P140" s="354"/>
      <c r="Q140" s="354"/>
      <c r="R140" s="354"/>
      <c r="S140" s="354"/>
      <c r="T140" s="354"/>
      <c r="U140" s="354"/>
      <c r="V140" s="354"/>
      <c r="W140" s="354"/>
    </row>
    <row r="141" spans="1:23" ht="11.25" customHeight="1" x14ac:dyDescent="0.25">
      <c r="A141" s="66" t="str">
        <f>'Org structure'!A5</f>
        <v>Vote 4 - COMMUNITY SERVICES - RECREATIONAL AND ENVIRONMENTAL SERVICES</v>
      </c>
      <c r="B141" s="132"/>
      <c r="C141" s="707">
        <f>SUM(C142:C154)</f>
        <v>311150226.16999996</v>
      </c>
      <c r="D141" s="350">
        <f t="shared" ref="D141:K141" si="27">SUM(D142:D154)</f>
        <v>336716100</v>
      </c>
      <c r="E141" s="348">
        <f t="shared" si="27"/>
        <v>338293324.86999995</v>
      </c>
      <c r="F141" s="348">
        <f t="shared" si="27"/>
        <v>27511510.890000001</v>
      </c>
      <c r="G141" s="348">
        <f t="shared" si="27"/>
        <v>270148695.22000003</v>
      </c>
      <c r="H141" s="348">
        <f t="shared" si="27"/>
        <v>272565050.66000003</v>
      </c>
      <c r="I141" s="34">
        <f t="shared" si="25"/>
        <v>-2416355.4399999976</v>
      </c>
      <c r="J141" s="351">
        <f t="shared" si="18"/>
        <v>-8.8652431195743436E-3</v>
      </c>
      <c r="K141" s="707">
        <f t="shared" si="27"/>
        <v>338293324.86999995</v>
      </c>
      <c r="L141" s="353"/>
      <c r="M141" s="354"/>
      <c r="N141" s="354"/>
      <c r="O141" s="354"/>
      <c r="P141" s="354"/>
      <c r="Q141" s="354"/>
      <c r="R141" s="354"/>
      <c r="S141" s="354"/>
      <c r="T141" s="354"/>
      <c r="U141" s="354"/>
      <c r="V141" s="354"/>
      <c r="W141" s="354"/>
    </row>
    <row r="142" spans="1:23" ht="11.25" customHeight="1" x14ac:dyDescent="0.25">
      <c r="A142" s="30" t="str">
        <f>'Org structure'!E39</f>
        <v>4,1 - FX001001003 - Cemeteries, Funeral Parlours and Crematoriums (Community and Social Services) - AA</v>
      </c>
      <c r="B142" s="197"/>
      <c r="C142" s="332">
        <f>'C3Q'!O32</f>
        <v>14941419.48</v>
      </c>
      <c r="D142" s="704">
        <f>'C3Q'!P32</f>
        <v>16126700</v>
      </c>
      <c r="E142" s="365">
        <f>'C3Q'!Q32</f>
        <v>16901043.359999999</v>
      </c>
      <c r="F142" s="365">
        <f>'C3Q'!R32</f>
        <v>1420681.96</v>
      </c>
      <c r="G142" s="365">
        <f>'C3Q'!S32</f>
        <v>12998328.039999999</v>
      </c>
      <c r="H142" s="365">
        <f>'C3Q'!T32</f>
        <v>13370873.5</v>
      </c>
      <c r="I142" s="34">
        <f t="shared" si="25"/>
        <v>-372545.46000000089</v>
      </c>
      <c r="J142" s="351">
        <f t="shared" si="18"/>
        <v>-2.7862462388863442E-2</v>
      </c>
      <c r="K142" s="332">
        <f>'C3Q'!W32</f>
        <v>16901043.359999999</v>
      </c>
      <c r="L142" s="353"/>
      <c r="M142" s="354"/>
      <c r="N142" s="354"/>
      <c r="O142" s="354"/>
      <c r="P142" s="354"/>
      <c r="Q142" s="354"/>
      <c r="R142" s="354"/>
      <c r="S142" s="354"/>
      <c r="T142" s="354"/>
      <c r="U142" s="354"/>
      <c r="V142" s="354"/>
      <c r="W142" s="354"/>
    </row>
    <row r="143" spans="1:23" ht="11.25" customHeight="1" x14ac:dyDescent="0.25">
      <c r="A143" s="30" t="str">
        <f>'Org structure'!E40</f>
        <v>4,2 - FX001001005002 - Halls (Community and Social Services) - AC</v>
      </c>
      <c r="B143" s="197"/>
      <c r="C143" s="332">
        <f>'C3Q'!O33</f>
        <v>41515065.18</v>
      </c>
      <c r="D143" s="704">
        <f>'C3Q'!P33</f>
        <v>41739700</v>
      </c>
      <c r="E143" s="365">
        <f>'C3Q'!Q33</f>
        <v>40401475.229999997</v>
      </c>
      <c r="F143" s="365">
        <f>'C3Q'!R33</f>
        <v>4906225.16</v>
      </c>
      <c r="G143" s="365">
        <f>'C3Q'!S33</f>
        <v>35492198.310000002</v>
      </c>
      <c r="H143" s="365">
        <f>'C3Q'!T33</f>
        <v>35143439.939999998</v>
      </c>
      <c r="I143" s="34">
        <f t="shared" si="25"/>
        <v>348758.37000000477</v>
      </c>
      <c r="J143" s="351">
        <f t="shared" si="18"/>
        <v>9.9238540847292143E-3</v>
      </c>
      <c r="K143" s="332">
        <f>'C3Q'!W33</f>
        <v>40401475.229999997</v>
      </c>
      <c r="L143" s="353"/>
      <c r="M143" s="354"/>
      <c r="N143" s="354"/>
      <c r="O143" s="354"/>
      <c r="P143" s="354"/>
      <c r="Q143" s="354"/>
      <c r="R143" s="354"/>
      <c r="S143" s="354"/>
      <c r="T143" s="354"/>
      <c r="U143" s="354"/>
      <c r="V143" s="354"/>
      <c r="W143" s="354"/>
    </row>
    <row r="144" spans="1:23" ht="11.25" customHeight="1" x14ac:dyDescent="0.25">
      <c r="A144" s="30" t="str">
        <f>'Org structure'!E41</f>
        <v>4,3 - FX001001006001 - Libraries and Archives (Community and Social Services) - AE</v>
      </c>
      <c r="B144" s="197"/>
      <c r="C144" s="332">
        <f>'C3Q'!O34</f>
        <v>38893010.890000001</v>
      </c>
      <c r="D144" s="704">
        <f>'C3Q'!P34</f>
        <v>40346800</v>
      </c>
      <c r="E144" s="365">
        <f>'C3Q'!Q34</f>
        <v>40587794.399999999</v>
      </c>
      <c r="F144" s="365">
        <f>'C3Q'!R34</f>
        <v>3253587.52</v>
      </c>
      <c r="G144" s="365">
        <f>'C3Q'!S34</f>
        <v>33864468.950000003</v>
      </c>
      <c r="H144" s="365">
        <f>'C3Q'!T34</f>
        <v>33679601.75</v>
      </c>
      <c r="I144" s="34">
        <f t="shared" si="25"/>
        <v>184867.20000000298</v>
      </c>
      <c r="J144" s="351">
        <f t="shared" si="18"/>
        <v>5.4889960211599882E-3</v>
      </c>
      <c r="K144" s="332">
        <f>'C3Q'!W34</f>
        <v>40587794.399999999</v>
      </c>
      <c r="L144" s="353"/>
      <c r="M144" s="354"/>
      <c r="N144" s="354"/>
      <c r="O144" s="354"/>
      <c r="P144" s="354"/>
      <c r="Q144" s="354"/>
      <c r="R144" s="354"/>
      <c r="S144" s="354"/>
      <c r="T144" s="354"/>
      <c r="U144" s="354"/>
      <c r="V144" s="354"/>
      <c r="W144" s="354"/>
    </row>
    <row r="145" spans="1:23" ht="11.25" customHeight="1" x14ac:dyDescent="0.25">
      <c r="A145" s="30" t="str">
        <f>'Org structure'!E42</f>
        <v>4,4 - FX001001006002 - Cyber Cadets (Community and Social Services) - AF</v>
      </c>
      <c r="B145" s="197"/>
      <c r="C145" s="332">
        <f>'C3Q'!O35</f>
        <v>3133244.95</v>
      </c>
      <c r="D145" s="704">
        <f>'C3Q'!P35</f>
        <v>3218300</v>
      </c>
      <c r="E145" s="365">
        <f>'C3Q'!Q35</f>
        <v>3417700</v>
      </c>
      <c r="F145" s="365">
        <f>'C3Q'!R35</f>
        <v>265236.71000000002</v>
      </c>
      <c r="G145" s="365">
        <f>'C3Q'!S35</f>
        <v>2793557.03</v>
      </c>
      <c r="H145" s="365">
        <f>'C3Q'!T35</f>
        <v>2813554.23</v>
      </c>
      <c r="I145" s="34">
        <f t="shared" si="25"/>
        <v>-19997.200000000186</v>
      </c>
      <c r="J145" s="351">
        <f t="shared" si="18"/>
        <v>-7.1074514174195198E-3</v>
      </c>
      <c r="K145" s="332">
        <f>'C3Q'!W35</f>
        <v>3417700</v>
      </c>
      <c r="L145" s="353"/>
      <c r="M145" s="354"/>
      <c r="N145" s="354"/>
      <c r="O145" s="354"/>
      <c r="P145" s="354"/>
      <c r="Q145" s="354"/>
      <c r="R145" s="354"/>
      <c r="S145" s="354"/>
      <c r="T145" s="354"/>
      <c r="U145" s="354"/>
      <c r="V145" s="354"/>
      <c r="W145" s="354"/>
    </row>
    <row r="146" spans="1:23" ht="11.25" customHeight="1" x14ac:dyDescent="0.25">
      <c r="A146" s="30" t="str">
        <f>'Org structure'!E43</f>
        <v>4,5 - FX001001008 - Museums and Art Galleries (Community and Social Services) - AG</v>
      </c>
      <c r="B146" s="197"/>
      <c r="C146" s="332">
        <f>'C3Q'!O36</f>
        <v>4092835.85</v>
      </c>
      <c r="D146" s="704">
        <f>'C3Q'!P36</f>
        <v>4511600</v>
      </c>
      <c r="E146" s="365">
        <f>'C3Q'!Q36</f>
        <v>4337755.6100000003</v>
      </c>
      <c r="F146" s="365">
        <f>'C3Q'!R36</f>
        <v>407397.74</v>
      </c>
      <c r="G146" s="365">
        <f>'C3Q'!S36</f>
        <v>3657126.46</v>
      </c>
      <c r="H146" s="365">
        <f>'C3Q'!T36</f>
        <v>3655617.12</v>
      </c>
      <c r="I146" s="34">
        <f t="shared" si="25"/>
        <v>1509.339999999851</v>
      </c>
      <c r="J146" s="351">
        <f t="shared" si="18"/>
        <v>4.1288240821014949E-4</v>
      </c>
      <c r="K146" s="332">
        <f>'C3Q'!W36</f>
        <v>4337755.6100000003</v>
      </c>
      <c r="L146" s="353"/>
      <c r="M146" s="354"/>
      <c r="N146" s="354"/>
      <c r="O146" s="354"/>
      <c r="P146" s="354"/>
      <c r="Q146" s="354"/>
      <c r="R146" s="354"/>
      <c r="S146" s="354"/>
      <c r="T146" s="354"/>
      <c r="U146" s="354"/>
      <c r="V146" s="354"/>
      <c r="W146" s="354"/>
    </row>
    <row r="147" spans="1:23" ht="11.25" customHeight="1" x14ac:dyDescent="0.25">
      <c r="A147" s="30" t="str">
        <f>'Org structure'!E44</f>
        <v>4,6 - FX001002007 - Cultural Matters (Community and Social Services) - CV</v>
      </c>
      <c r="B147" s="197"/>
      <c r="C147" s="332">
        <f>'C3Q'!O37</f>
        <v>4072535.48</v>
      </c>
      <c r="D147" s="704">
        <f>'C3Q'!P37</f>
        <v>7452800</v>
      </c>
      <c r="E147" s="365">
        <f>'C3Q'!Q37</f>
        <v>6766700</v>
      </c>
      <c r="F147" s="365">
        <f>'C3Q'!R37</f>
        <v>335076.7</v>
      </c>
      <c r="G147" s="365">
        <f>'C3Q'!S37</f>
        <v>3841750.75</v>
      </c>
      <c r="H147" s="365">
        <f>'C3Q'!T37</f>
        <v>4843501.1500000004</v>
      </c>
      <c r="I147" s="34">
        <f t="shared" si="25"/>
        <v>-1001750.4000000004</v>
      </c>
      <c r="J147" s="351">
        <f t="shared" si="18"/>
        <v>-0.20682361146956688</v>
      </c>
      <c r="K147" s="332">
        <f>'C3Q'!W37</f>
        <v>6766700</v>
      </c>
      <c r="L147" s="353"/>
      <c r="M147" s="354"/>
      <c r="N147" s="354"/>
      <c r="O147" s="354"/>
      <c r="P147" s="354"/>
      <c r="Q147" s="354"/>
      <c r="R147" s="354"/>
      <c r="S147" s="354"/>
      <c r="T147" s="354"/>
      <c r="U147" s="354"/>
      <c r="V147" s="354"/>
      <c r="W147" s="354"/>
    </row>
    <row r="148" spans="1:23" ht="11.25" customHeight="1" x14ac:dyDescent="0.25">
      <c r="A148" s="30" t="str">
        <f>'Org structure'!E45</f>
        <v>4,7 - FX013001001 - Beaches and Jetties (Community and Social Services) - CS</v>
      </c>
      <c r="B148" s="197"/>
      <c r="C148" s="332">
        <f>'C3Q'!O38</f>
        <v>20634040.550000001</v>
      </c>
      <c r="D148" s="704">
        <f>'C3Q'!P38</f>
        <v>24480800</v>
      </c>
      <c r="E148" s="365">
        <f>'C3Q'!Q38</f>
        <v>26474544.760000002</v>
      </c>
      <c r="F148" s="365">
        <f>'C3Q'!R38</f>
        <v>1297048.69</v>
      </c>
      <c r="G148" s="365">
        <f>'C3Q'!S38</f>
        <v>19582561.98</v>
      </c>
      <c r="H148" s="365">
        <f>'C3Q'!T38</f>
        <v>20249733.300000001</v>
      </c>
      <c r="I148" s="34">
        <f t="shared" si="25"/>
        <v>-667171.3200000003</v>
      </c>
      <c r="J148" s="351">
        <f t="shared" si="18"/>
        <v>-3.2947165778227816E-2</v>
      </c>
      <c r="K148" s="332">
        <f>'C3Q'!W38</f>
        <v>26474544.760000002</v>
      </c>
      <c r="L148" s="353"/>
      <c r="M148" s="354"/>
      <c r="N148" s="354"/>
      <c r="O148" s="354"/>
      <c r="P148" s="354"/>
      <c r="Q148" s="354"/>
      <c r="R148" s="354"/>
      <c r="S148" s="354"/>
      <c r="T148" s="354"/>
      <c r="U148" s="354"/>
      <c r="V148" s="354"/>
      <c r="W148" s="354"/>
    </row>
    <row r="149" spans="1:23" ht="11.25" customHeight="1" x14ac:dyDescent="0.25">
      <c r="A149" s="30" t="str">
        <f>'Org structure'!E46</f>
        <v>4,8 - FX013001002 - Community Parks (including Nurseries) (Sport and Recreation) - CT</v>
      </c>
      <c r="B149" s="197"/>
      <c r="C149" s="332">
        <f>'C3Q'!O39</f>
        <v>100147726.72</v>
      </c>
      <c r="D149" s="704">
        <f>'C3Q'!P39</f>
        <v>110015500</v>
      </c>
      <c r="E149" s="365">
        <f>'C3Q'!Q39</f>
        <v>105029036.72</v>
      </c>
      <c r="F149" s="365">
        <f>'C3Q'!R39</f>
        <v>8111094.96</v>
      </c>
      <c r="G149" s="365">
        <f>'C3Q'!S39</f>
        <v>85014537.829999998</v>
      </c>
      <c r="H149" s="365">
        <f>'C3Q'!T39</f>
        <v>85121976.409999996</v>
      </c>
      <c r="I149" s="34">
        <f t="shared" si="25"/>
        <v>-107438.57999999821</v>
      </c>
      <c r="J149" s="351">
        <f t="shared" si="18"/>
        <v>-1.2621720562796578E-3</v>
      </c>
      <c r="K149" s="332">
        <f>'C3Q'!W39</f>
        <v>105029036.72</v>
      </c>
      <c r="L149" s="353"/>
      <c r="M149" s="354"/>
      <c r="N149" s="354"/>
      <c r="O149" s="354"/>
      <c r="P149" s="354"/>
      <c r="Q149" s="354"/>
      <c r="R149" s="354"/>
      <c r="S149" s="354"/>
      <c r="T149" s="354"/>
      <c r="U149" s="354"/>
      <c r="V149" s="354"/>
      <c r="W149" s="354"/>
    </row>
    <row r="150" spans="1:23" ht="11.25" customHeight="1" x14ac:dyDescent="0.25">
      <c r="A150" s="30" t="str">
        <f>'Org structure'!E47</f>
        <v>4,9 - FX013002003001 - Recreational Facilities - Caravan Park (Sport and Recreation) - CW</v>
      </c>
      <c r="B150" s="197"/>
      <c r="C150" s="332">
        <f>'C3Q'!O40</f>
        <v>1740.01</v>
      </c>
      <c r="D150" s="704">
        <f>'C3Q'!P40</f>
        <v>0</v>
      </c>
      <c r="E150" s="365">
        <f>'C3Q'!Q40</f>
        <v>0</v>
      </c>
      <c r="F150" s="365">
        <f>'C3Q'!R40</f>
        <v>0</v>
      </c>
      <c r="G150" s="365">
        <f>'C3Q'!S40</f>
        <v>0</v>
      </c>
      <c r="H150" s="365">
        <f>'C3Q'!T40</f>
        <v>0</v>
      </c>
      <c r="I150" s="34">
        <f t="shared" si="25"/>
        <v>0</v>
      </c>
      <c r="J150" s="351" t="str">
        <f t="shared" si="18"/>
        <v/>
      </c>
      <c r="K150" s="332">
        <f>'C3Q'!W40</f>
        <v>0</v>
      </c>
      <c r="L150" s="353"/>
      <c r="M150" s="354"/>
      <c r="N150" s="354"/>
      <c r="O150" s="354"/>
      <c r="P150" s="354"/>
      <c r="Q150" s="354"/>
      <c r="R150" s="354"/>
      <c r="S150" s="354"/>
      <c r="T150" s="354"/>
      <c r="U150" s="354"/>
      <c r="V150" s="354"/>
      <c r="W150" s="354"/>
    </row>
    <row r="151" spans="1:23" ht="11.25" customHeight="1" x14ac:dyDescent="0.25">
      <c r="A151" s="30" t="str">
        <f>'Org structure'!E48</f>
        <v>4.10 - FX013002003002 - Recreational Facilities - Parks Administration (Sport and Recreation) - CX</v>
      </c>
      <c r="B151" s="197"/>
      <c r="C151" s="332">
        <f>'C3Q'!O41</f>
        <v>11028606.52</v>
      </c>
      <c r="D151" s="704">
        <f>'C3Q'!P41</f>
        <v>11972800</v>
      </c>
      <c r="E151" s="365">
        <f>'C3Q'!Q41</f>
        <v>10575210.07</v>
      </c>
      <c r="F151" s="365">
        <f>'C3Q'!R41</f>
        <v>832192.4</v>
      </c>
      <c r="G151" s="365">
        <f>'C3Q'!S41</f>
        <v>8169107.9000000004</v>
      </c>
      <c r="H151" s="365">
        <f>'C3Q'!T41</f>
        <v>8471264.0999999996</v>
      </c>
      <c r="I151" s="34">
        <f t="shared" si="25"/>
        <v>-302156.19999999925</v>
      </c>
      <c r="J151" s="351">
        <f t="shared" si="18"/>
        <v>-3.5668372091008149E-2</v>
      </c>
      <c r="K151" s="332">
        <f>'C3Q'!W41</f>
        <v>10575210.07</v>
      </c>
      <c r="L151" s="353"/>
      <c r="M151" s="354"/>
      <c r="N151" s="354"/>
      <c r="O151" s="354"/>
      <c r="P151" s="354"/>
      <c r="Q151" s="354"/>
      <c r="R151" s="354"/>
      <c r="S151" s="354"/>
      <c r="T151" s="354"/>
      <c r="U151" s="354"/>
      <c r="V151" s="354"/>
      <c r="W151" s="354"/>
    </row>
    <row r="152" spans="1:23" ht="11.25" customHeight="1" x14ac:dyDescent="0.25">
      <c r="A152" s="30" t="str">
        <f>'Org structure'!E49</f>
        <v>4.11 - FX013002003003 - Recreational Facilities - Swimming Pools (Sport and Recreation) - CY</v>
      </c>
      <c r="B152" s="197"/>
      <c r="C152" s="332">
        <f>'C3Q'!O42</f>
        <v>31314637.190000001</v>
      </c>
      <c r="D152" s="704">
        <f>'C3Q'!P42</f>
        <v>34469200</v>
      </c>
      <c r="E152" s="365">
        <f>'C3Q'!Q42</f>
        <v>41127892.07</v>
      </c>
      <c r="F152" s="365">
        <f>'C3Q'!R42</f>
        <v>4047182.64</v>
      </c>
      <c r="G152" s="365">
        <f>'C3Q'!S42</f>
        <v>31919231.77</v>
      </c>
      <c r="H152" s="365">
        <f>'C3Q'!T42</f>
        <v>32423598.170000002</v>
      </c>
      <c r="I152" s="34">
        <f t="shared" si="25"/>
        <v>-504366.40000000224</v>
      </c>
      <c r="J152" s="351">
        <f t="shared" si="18"/>
        <v>-1.5555534501617042E-2</v>
      </c>
      <c r="K152" s="332">
        <f>'C3Q'!W42</f>
        <v>41127892.07</v>
      </c>
      <c r="L152" s="353"/>
      <c r="M152" s="354"/>
      <c r="N152" s="354"/>
      <c r="O152" s="354"/>
      <c r="P152" s="354"/>
      <c r="Q152" s="354"/>
      <c r="R152" s="354"/>
      <c r="S152" s="354"/>
      <c r="T152" s="354"/>
      <c r="U152" s="354"/>
      <c r="V152" s="354"/>
      <c r="W152" s="354"/>
    </row>
    <row r="153" spans="1:23" ht="11.25" customHeight="1" x14ac:dyDescent="0.25">
      <c r="A153" s="30" t="str">
        <f>'Org structure'!E50</f>
        <v>4.12 - FX013002004001 - Sport Development and Sportfields (Sport and Recreation) - CZ</v>
      </c>
      <c r="B153" s="197"/>
      <c r="C153" s="332">
        <f>'C3Q'!O43</f>
        <v>29704346.59</v>
      </c>
      <c r="D153" s="704">
        <f>'C3Q'!P43</f>
        <v>30031900</v>
      </c>
      <c r="E153" s="365">
        <f>'C3Q'!Q43</f>
        <v>30878340</v>
      </c>
      <c r="F153" s="365">
        <f>'C3Q'!R43</f>
        <v>1668663.94</v>
      </c>
      <c r="G153" s="365">
        <f>'C3Q'!S43</f>
        <v>23042505.289999999</v>
      </c>
      <c r="H153" s="365">
        <f>'C3Q'!T43</f>
        <v>22979646.25</v>
      </c>
      <c r="I153" s="34">
        <f t="shared" si="25"/>
        <v>62859.039999999106</v>
      </c>
      <c r="J153" s="351">
        <f t="shared" si="18"/>
        <v>2.7354224393249353E-3</v>
      </c>
      <c r="K153" s="332">
        <f>'C3Q'!W43</f>
        <v>30878340</v>
      </c>
      <c r="L153" s="353"/>
      <c r="M153" s="354"/>
      <c r="N153" s="354"/>
      <c r="O153" s="354"/>
      <c r="P153" s="354"/>
      <c r="Q153" s="354"/>
      <c r="R153" s="354"/>
      <c r="S153" s="354"/>
      <c r="T153" s="354"/>
      <c r="U153" s="354"/>
      <c r="V153" s="354"/>
      <c r="W153" s="354"/>
    </row>
    <row r="154" spans="1:23" ht="11.25" customHeight="1" x14ac:dyDescent="0.25">
      <c r="A154" s="30" t="str">
        <f>'Org structure'!E51</f>
        <v>4.13 - FX013002004002 - Sports Grounds and Stadiums -Stadiums (Sport and Recreation) - DB</v>
      </c>
      <c r="B154" s="197"/>
      <c r="C154" s="332">
        <f>'C3Q'!O44</f>
        <v>11671016.76</v>
      </c>
      <c r="D154" s="704">
        <f>'C3Q'!P44</f>
        <v>12350000</v>
      </c>
      <c r="E154" s="365">
        <f>'C3Q'!Q44</f>
        <v>11795832.65</v>
      </c>
      <c r="F154" s="365">
        <f>'C3Q'!R44</f>
        <v>967122.47</v>
      </c>
      <c r="G154" s="365">
        <f>'C3Q'!S44</f>
        <v>9773320.9100000001</v>
      </c>
      <c r="H154" s="365">
        <f>'C3Q'!T44</f>
        <v>9812244.7400000002</v>
      </c>
      <c r="I154" s="34">
        <f t="shared" si="25"/>
        <v>-38923.830000000075</v>
      </c>
      <c r="J154" s="351">
        <f t="shared" si="18"/>
        <v>-3.9668629382352801E-3</v>
      </c>
      <c r="K154" s="332">
        <f>'C3Q'!W44</f>
        <v>11795832.65</v>
      </c>
      <c r="L154" s="353"/>
      <c r="M154" s="354"/>
      <c r="N154" s="354"/>
      <c r="O154" s="354"/>
      <c r="P154" s="354"/>
      <c r="Q154" s="354"/>
      <c r="R154" s="354"/>
      <c r="S154" s="354"/>
      <c r="T154" s="354"/>
      <c r="U154" s="354"/>
      <c r="V154" s="354"/>
      <c r="W154" s="354"/>
    </row>
    <row r="155" spans="1:23" ht="11.25" customHeight="1" x14ac:dyDescent="0.25">
      <c r="A155" s="66" t="str">
        <f>'Org structure'!A6</f>
        <v>Vote 5 - CORPORATE SERVICES - ADMINISTRATION</v>
      </c>
      <c r="B155" s="132"/>
      <c r="C155" s="707">
        <f t="shared" ref="C155:H155" si="28">SUM(C156:C158)</f>
        <v>46631286.149999999</v>
      </c>
      <c r="D155" s="723">
        <f t="shared" si="28"/>
        <v>42498700</v>
      </c>
      <c r="E155" s="349">
        <f t="shared" si="28"/>
        <v>46279005.739999995</v>
      </c>
      <c r="F155" s="350">
        <f t="shared" si="28"/>
        <v>3429030.35</v>
      </c>
      <c r="G155" s="349">
        <f t="shared" si="28"/>
        <v>36874533.270000003</v>
      </c>
      <c r="H155" s="350">
        <f t="shared" si="28"/>
        <v>34737055.519999996</v>
      </c>
      <c r="I155" s="34">
        <f t="shared" ref="I155:I196" si="29">G155-H155</f>
        <v>2137477.7500000075</v>
      </c>
      <c r="J155" s="351">
        <f t="shared" si="18"/>
        <v>6.1533072334508783E-2</v>
      </c>
      <c r="K155" s="707">
        <f>SUM(K156:K158)</f>
        <v>46279005.739999995</v>
      </c>
      <c r="L155" s="353"/>
      <c r="M155" s="354"/>
      <c r="N155" s="354"/>
      <c r="O155" s="354"/>
      <c r="P155" s="354"/>
      <c r="Q155" s="354"/>
      <c r="R155" s="354"/>
      <c r="S155" s="354"/>
      <c r="T155" s="354"/>
      <c r="U155" s="354"/>
      <c r="V155" s="354"/>
      <c r="W155" s="354"/>
    </row>
    <row r="156" spans="1:23" ht="11.25" customHeight="1" x14ac:dyDescent="0.25">
      <c r="A156" s="30" t="str">
        <f>'Org structure'!E53</f>
        <v>5.1 - FX001001005003 - Municipal Buildings (Community and Social Services) - AD</v>
      </c>
      <c r="B156" s="197"/>
      <c r="C156" s="332">
        <f>'C3Q'!O46</f>
        <v>18640615.140000001</v>
      </c>
      <c r="D156" s="704">
        <f>'C3Q'!P46</f>
        <v>12806500</v>
      </c>
      <c r="E156" s="365">
        <f>'C3Q'!Q46</f>
        <v>14296103.16</v>
      </c>
      <c r="F156" s="365">
        <f>'C3Q'!R46</f>
        <v>1655119.11</v>
      </c>
      <c r="G156" s="365">
        <f>'C3Q'!S46</f>
        <v>12241157.42</v>
      </c>
      <c r="H156" s="365">
        <f>'C3Q'!T46</f>
        <v>8502581.5899999999</v>
      </c>
      <c r="I156" s="34">
        <f t="shared" si="29"/>
        <v>3738575.83</v>
      </c>
      <c r="J156" s="351">
        <f t="shared" si="18"/>
        <v>0.43969890678814411</v>
      </c>
      <c r="K156" s="332">
        <f>'C3Q'!W46</f>
        <v>14296103.16</v>
      </c>
      <c r="L156" s="704">
        <f>'C3Q'!X46</f>
        <v>0</v>
      </c>
      <c r="M156" s="365">
        <f>'C3Q'!Y46</f>
        <v>0</v>
      </c>
      <c r="N156" s="365">
        <f>'C3Q'!Z46</f>
        <v>0</v>
      </c>
      <c r="O156" s="365">
        <f>'C3Q'!AA46</f>
        <v>0</v>
      </c>
      <c r="P156" s="365">
        <f>'C3Q'!AB46</f>
        <v>0</v>
      </c>
      <c r="Q156" s="365">
        <f>'C3Q'!AC46</f>
        <v>0</v>
      </c>
      <c r="R156" s="365">
        <f>'C3Q'!AD46</f>
        <v>0</v>
      </c>
      <c r="S156" s="365">
        <f>'C3Q'!AE46</f>
        <v>0</v>
      </c>
      <c r="T156" s="365">
        <f>'C3Q'!AF46</f>
        <v>0</v>
      </c>
      <c r="U156" s="365">
        <f>'C3Q'!AG46</f>
        <v>0</v>
      </c>
      <c r="V156" s="365">
        <f>'C3Q'!AH46</f>
        <v>0</v>
      </c>
      <c r="W156" s="365">
        <f>'C3Q'!AI46</f>
        <v>0</v>
      </c>
    </row>
    <row r="157" spans="1:23" ht="11.25" customHeight="1" x14ac:dyDescent="0.25">
      <c r="A157" s="30" t="str">
        <f>'Org structure'!E54</f>
        <v>5.2 - FX005001001 - Administrative and Corporate Support (Finance and Administration) - BB</v>
      </c>
      <c r="B157" s="197"/>
      <c r="C157" s="332">
        <f>'C3Q'!O47</f>
        <v>2952262.72</v>
      </c>
      <c r="D157" s="704">
        <f>'C3Q'!P47</f>
        <v>1397200</v>
      </c>
      <c r="E157" s="365">
        <f>'C3Q'!Q47</f>
        <v>1356912.04</v>
      </c>
      <c r="F157" s="365">
        <f>'C3Q'!R47</f>
        <v>92105.18</v>
      </c>
      <c r="G157" s="365">
        <f>'C3Q'!S47</f>
        <v>1231086.0900000001</v>
      </c>
      <c r="H157" s="365">
        <f>'C3Q'!T47</f>
        <v>1033715.16</v>
      </c>
      <c r="I157" s="34">
        <f t="shared" si="29"/>
        <v>197370.93000000005</v>
      </c>
      <c r="J157" s="351">
        <f t="shared" si="18"/>
        <v>0.19093357400311325</v>
      </c>
      <c r="K157" s="332">
        <f>'C3Q'!W47</f>
        <v>1356912.04</v>
      </c>
      <c r="L157" s="353"/>
      <c r="M157" s="354"/>
      <c r="N157" s="354"/>
      <c r="O157" s="354"/>
      <c r="P157" s="354"/>
      <c r="Q157" s="354"/>
      <c r="R157" s="354"/>
      <c r="S157" s="354"/>
      <c r="T157" s="354"/>
      <c r="U157" s="354"/>
      <c r="V157" s="354"/>
      <c r="W157" s="354"/>
    </row>
    <row r="158" spans="1:23" ht="11.25" customHeight="1" x14ac:dyDescent="0.25">
      <c r="A158" s="30" t="str">
        <f>'Org structure'!E55</f>
        <v>5.3 - FX009001002 - Air Transport (Other) - BV</v>
      </c>
      <c r="B158" s="197"/>
      <c r="C158" s="332">
        <f>'C3Q'!O48</f>
        <v>25038408.289999999</v>
      </c>
      <c r="D158" s="704">
        <f>'C3Q'!P48</f>
        <v>28295000</v>
      </c>
      <c r="E158" s="365">
        <f>'C3Q'!Q48</f>
        <v>30625990.539999999</v>
      </c>
      <c r="F158" s="365">
        <f>'C3Q'!R48</f>
        <v>1681806.06</v>
      </c>
      <c r="G158" s="365">
        <f>'C3Q'!S48</f>
        <v>23402289.760000002</v>
      </c>
      <c r="H158" s="365">
        <f>'C3Q'!T48</f>
        <v>25200758.77</v>
      </c>
      <c r="I158" s="34">
        <f t="shared" si="29"/>
        <v>-1798469.0099999979</v>
      </c>
      <c r="J158" s="351">
        <f t="shared" si="18"/>
        <v>-7.1365669042511848E-2</v>
      </c>
      <c r="K158" s="332">
        <f>'C3Q'!W48</f>
        <v>30625990.539999999</v>
      </c>
      <c r="L158" s="353"/>
      <c r="M158" s="354"/>
      <c r="N158" s="354"/>
      <c r="O158" s="354"/>
      <c r="P158" s="354"/>
      <c r="Q158" s="354"/>
      <c r="R158" s="354"/>
      <c r="S158" s="354"/>
      <c r="T158" s="354"/>
      <c r="U158" s="354"/>
      <c r="V158" s="354"/>
      <c r="W158" s="354"/>
    </row>
    <row r="159" spans="1:23" ht="11.25" customHeight="1" x14ac:dyDescent="0.25">
      <c r="A159" s="66" t="str">
        <f>'Org structure'!A7</f>
        <v>Vote 6 - CORPORATE SERVICES - INFORMATION COMMUNICATION TECHNOLOGY</v>
      </c>
      <c r="B159" s="132"/>
      <c r="C159" s="707">
        <f t="shared" ref="C159:H159" si="30">SUM(C160:C160)</f>
        <v>167713056.75</v>
      </c>
      <c r="D159" s="723">
        <f t="shared" si="30"/>
        <v>53996500</v>
      </c>
      <c r="E159" s="349">
        <f t="shared" si="30"/>
        <v>179867034.83000001</v>
      </c>
      <c r="F159" s="350">
        <f t="shared" si="30"/>
        <v>-1503286.33</v>
      </c>
      <c r="G159" s="349">
        <f t="shared" si="30"/>
        <v>120925842.40000001</v>
      </c>
      <c r="H159" s="350">
        <f t="shared" si="30"/>
        <v>134660898.18000001</v>
      </c>
      <c r="I159" s="34">
        <f t="shared" si="29"/>
        <v>-13735055.780000001</v>
      </c>
      <c r="J159" s="351">
        <f t="shared" si="18"/>
        <v>-0.10199735755245354</v>
      </c>
      <c r="K159" s="707">
        <f>SUM(K160:K160)</f>
        <v>179867034.83000001</v>
      </c>
      <c r="L159" s="353"/>
      <c r="M159" s="354"/>
      <c r="N159" s="354"/>
      <c r="O159" s="354"/>
      <c r="P159" s="354"/>
      <c r="Q159" s="354"/>
      <c r="R159" s="354"/>
      <c r="S159" s="354"/>
      <c r="T159" s="354"/>
      <c r="U159" s="354"/>
      <c r="V159" s="354"/>
      <c r="W159" s="354"/>
    </row>
    <row r="160" spans="1:23" ht="11.25" customHeight="1" x14ac:dyDescent="0.25">
      <c r="A160" s="30" t="str">
        <f>'Org structure'!E64</f>
        <v>6,1 - FX005001007 - Information Technology (Finance and Administration) - BK</v>
      </c>
      <c r="B160" s="197"/>
      <c r="C160" s="332">
        <f>'C3Q'!O50</f>
        <v>167713056.75</v>
      </c>
      <c r="D160" s="704">
        <f>'C3Q'!P50</f>
        <v>53996500</v>
      </c>
      <c r="E160" s="365">
        <f>'C3Q'!Q50</f>
        <v>179867034.83000001</v>
      </c>
      <c r="F160" s="365">
        <f>'C3Q'!R50</f>
        <v>-1503286.33</v>
      </c>
      <c r="G160" s="365">
        <f>'C3Q'!S50</f>
        <v>120925842.40000001</v>
      </c>
      <c r="H160" s="365">
        <f>'C3Q'!T50</f>
        <v>134660898.18000001</v>
      </c>
      <c r="I160" s="34">
        <f t="shared" si="29"/>
        <v>-13735055.780000001</v>
      </c>
      <c r="J160" s="351">
        <f t="shared" si="18"/>
        <v>-0.10199735755245354</v>
      </c>
      <c r="K160" s="332">
        <f>'C3Q'!W50</f>
        <v>179867034.83000001</v>
      </c>
      <c r="L160" s="353"/>
      <c r="M160" s="354"/>
      <c r="N160" s="354"/>
      <c r="O160" s="354"/>
      <c r="P160" s="354"/>
      <c r="Q160" s="354"/>
      <c r="R160" s="354"/>
      <c r="S160" s="354"/>
      <c r="T160" s="354"/>
      <c r="U160" s="354"/>
      <c r="V160" s="354"/>
      <c r="W160" s="354"/>
    </row>
    <row r="161" spans="1:23" ht="11.25" customHeight="1" x14ac:dyDescent="0.25">
      <c r="A161" s="66" t="str">
        <f>'Org structure'!A8</f>
        <v>Vote 7 - CORPORATE SERVICES - HUMAN RESOURCES</v>
      </c>
      <c r="B161" s="132"/>
      <c r="C161" s="707">
        <f t="shared" ref="C161:H161" si="31">SUM(C162:C165)</f>
        <v>5702685.8499999996</v>
      </c>
      <c r="D161" s="723">
        <f t="shared" si="31"/>
        <v>12176800</v>
      </c>
      <c r="E161" s="349">
        <f t="shared" si="31"/>
        <v>10017209.060000001</v>
      </c>
      <c r="F161" s="350">
        <f t="shared" si="31"/>
        <v>521747.69999999995</v>
      </c>
      <c r="G161" s="349">
        <f t="shared" si="31"/>
        <v>4354685.29</v>
      </c>
      <c r="H161" s="350">
        <f t="shared" si="31"/>
        <v>5691365.3900000006</v>
      </c>
      <c r="I161" s="34">
        <f t="shared" si="29"/>
        <v>-1336680.1000000006</v>
      </c>
      <c r="J161" s="351">
        <f t="shared" si="18"/>
        <v>-0.2348610585341456</v>
      </c>
      <c r="K161" s="707">
        <f>SUM(K162:K165)</f>
        <v>10017209.060000001</v>
      </c>
      <c r="L161" s="353"/>
      <c r="M161" s="354"/>
      <c r="N161" s="354"/>
      <c r="O161" s="354"/>
      <c r="P161" s="354"/>
      <c r="Q161" s="354"/>
      <c r="R161" s="354"/>
      <c r="S161" s="354"/>
      <c r="T161" s="354"/>
      <c r="U161" s="354"/>
      <c r="V161" s="354"/>
      <c r="W161" s="354"/>
    </row>
    <row r="162" spans="1:23" ht="11.25" customHeight="1" x14ac:dyDescent="0.25">
      <c r="A162" s="30" t="str">
        <f>'Org structure'!E75</f>
        <v>7,1 - FX005001006001 - Human Resources (Finance and Administration) - BG</v>
      </c>
      <c r="B162" s="197"/>
      <c r="C162" s="332">
        <f>'C3Q'!O52</f>
        <v>-938609.53</v>
      </c>
      <c r="D162" s="704">
        <f>'C3Q'!P52</f>
        <v>2703400</v>
      </c>
      <c r="E162" s="365">
        <f>'C3Q'!Q52</f>
        <v>1278328.19</v>
      </c>
      <c r="F162" s="365">
        <f>'C3Q'!R52</f>
        <v>98385.919999999998</v>
      </c>
      <c r="G162" s="365">
        <f>'C3Q'!S52</f>
        <v>-33400.75</v>
      </c>
      <c r="H162" s="365">
        <f>'C3Q'!T52</f>
        <v>416022.89</v>
      </c>
      <c r="I162" s="34">
        <f t="shared" si="29"/>
        <v>-449423.64</v>
      </c>
      <c r="J162" s="351">
        <f t="shared" si="18"/>
        <v>-1.0802858467715561</v>
      </c>
      <c r="K162" s="332">
        <f>'C3Q'!W52</f>
        <v>1278328.19</v>
      </c>
      <c r="L162" s="353"/>
      <c r="M162" s="354"/>
      <c r="N162" s="354"/>
      <c r="O162" s="354"/>
      <c r="P162" s="354"/>
      <c r="Q162" s="354"/>
      <c r="R162" s="354"/>
      <c r="S162" s="354"/>
      <c r="T162" s="354"/>
      <c r="U162" s="354"/>
      <c r="V162" s="354"/>
      <c r="W162" s="354"/>
    </row>
    <row r="163" spans="1:23" ht="11.25" customHeight="1" x14ac:dyDescent="0.25">
      <c r="A163" s="30" t="str">
        <f>'Org structure'!E76</f>
        <v>7,2 - FX005001006002 - Management Services  (Finance and Administration) - BH</v>
      </c>
      <c r="B163" s="197"/>
      <c r="C163" s="332">
        <f>'C3Q'!O53</f>
        <v>3502082.12</v>
      </c>
      <c r="D163" s="704">
        <f>'C3Q'!P53</f>
        <v>3336600</v>
      </c>
      <c r="E163" s="365">
        <f>'C3Q'!Q53</f>
        <v>3118366.35</v>
      </c>
      <c r="F163" s="365">
        <f>'C3Q'!R53</f>
        <v>221492.14</v>
      </c>
      <c r="G163" s="365">
        <f>'C3Q'!S53</f>
        <v>2470937.2400000002</v>
      </c>
      <c r="H163" s="365">
        <f>'C3Q'!T53</f>
        <v>2669611.2400000002</v>
      </c>
      <c r="I163" s="34">
        <f t="shared" si="29"/>
        <v>-198674</v>
      </c>
      <c r="J163" s="351">
        <f t="shared" si="18"/>
        <v>-7.4420573686227051E-2</v>
      </c>
      <c r="K163" s="332">
        <f>'C3Q'!W53</f>
        <v>3118366.35</v>
      </c>
      <c r="L163" s="353"/>
      <c r="M163" s="354"/>
      <c r="N163" s="354"/>
      <c r="O163" s="354"/>
      <c r="P163" s="354"/>
      <c r="Q163" s="354"/>
      <c r="R163" s="354"/>
      <c r="S163" s="354"/>
      <c r="T163" s="354"/>
      <c r="U163" s="354"/>
      <c r="V163" s="354"/>
      <c r="W163" s="354"/>
    </row>
    <row r="164" spans="1:23" ht="11.25" customHeight="1" x14ac:dyDescent="0.25">
      <c r="A164" s="30" t="str">
        <f>'Org structure'!E77</f>
        <v>7,3 - FX005001006004 - Training and Industrial Relations (Finance and Administration) - BJ</v>
      </c>
      <c r="B164" s="197"/>
      <c r="C164" s="332">
        <f>'C3Q'!O54</f>
        <v>1692249.88</v>
      </c>
      <c r="D164" s="704">
        <f>'C3Q'!P54</f>
        <v>3727900</v>
      </c>
      <c r="E164" s="365">
        <f>'C3Q'!Q54</f>
        <v>3351661.77</v>
      </c>
      <c r="F164" s="365">
        <f>'C3Q'!R54</f>
        <v>50991.73</v>
      </c>
      <c r="G164" s="365">
        <f>'C3Q'!S54</f>
        <v>477976.97</v>
      </c>
      <c r="H164" s="365">
        <f>'C3Q'!T54</f>
        <v>1175373.7</v>
      </c>
      <c r="I164" s="34">
        <f t="shared" si="29"/>
        <v>-697396.73</v>
      </c>
      <c r="J164" s="351">
        <f t="shared" si="18"/>
        <v>-0.59334042441140211</v>
      </c>
      <c r="K164" s="332">
        <f>'C3Q'!W54</f>
        <v>3351661.77</v>
      </c>
      <c r="L164" s="353"/>
      <c r="M164" s="354"/>
      <c r="N164" s="354"/>
      <c r="O164" s="354"/>
      <c r="P164" s="354"/>
      <c r="Q164" s="354"/>
      <c r="R164" s="354"/>
      <c r="S164" s="354"/>
      <c r="T164" s="354"/>
      <c r="U164" s="354"/>
      <c r="V164" s="354"/>
      <c r="W164" s="354"/>
    </row>
    <row r="165" spans="1:23" ht="11.25" customHeight="1" x14ac:dyDescent="0.25">
      <c r="A165" s="30" t="str">
        <f>'Org structure'!E78</f>
        <v>7,4 - FX005001006003 - Occupational Clinic (Finance and Administration) - BI</v>
      </c>
      <c r="B165" s="197"/>
      <c r="C165" s="332">
        <f>'C3Q'!O55</f>
        <v>1446963.38</v>
      </c>
      <c r="D165" s="704">
        <f>'C3Q'!P55</f>
        <v>2408900</v>
      </c>
      <c r="E165" s="365">
        <f>'C3Q'!Q55</f>
        <v>2268852.75</v>
      </c>
      <c r="F165" s="365">
        <f>'C3Q'!R55</f>
        <v>150877.91</v>
      </c>
      <c r="G165" s="365">
        <f>'C3Q'!S55</f>
        <v>1439171.83</v>
      </c>
      <c r="H165" s="365">
        <f>'C3Q'!T55</f>
        <v>1430357.56</v>
      </c>
      <c r="I165" s="34">
        <f t="shared" si="29"/>
        <v>8814.2700000000186</v>
      </c>
      <c r="J165" s="351">
        <f t="shared" si="18"/>
        <v>6.1622843451815072E-3</v>
      </c>
      <c r="K165" s="332">
        <f>'C3Q'!W55</f>
        <v>2268852.75</v>
      </c>
      <c r="L165" s="353"/>
      <c r="M165" s="354"/>
      <c r="N165" s="354"/>
      <c r="O165" s="354"/>
      <c r="P165" s="354"/>
      <c r="Q165" s="354"/>
      <c r="R165" s="354"/>
      <c r="S165" s="354"/>
      <c r="T165" s="354"/>
      <c r="U165" s="354"/>
      <c r="V165" s="354"/>
      <c r="W165" s="354"/>
    </row>
    <row r="166" spans="1:23" ht="11.25" customHeight="1" x14ac:dyDescent="0.25">
      <c r="A166" s="66" t="str">
        <f>'Org structure'!A9</f>
        <v>Vote 8 - FINANCIAL SERVICES</v>
      </c>
      <c r="B166" s="197"/>
      <c r="C166" s="707">
        <f t="shared" ref="C166:H166" si="32">SUM(C167:C171)</f>
        <v>-99588482.950000003</v>
      </c>
      <c r="D166" s="723">
        <f t="shared" si="32"/>
        <v>20715700</v>
      </c>
      <c r="E166" s="349">
        <f t="shared" si="32"/>
        <v>-22268114.700000003</v>
      </c>
      <c r="F166" s="350">
        <f t="shared" si="32"/>
        <v>3802008.0899999994</v>
      </c>
      <c r="G166" s="349">
        <f t="shared" si="32"/>
        <v>-59249448.999999993</v>
      </c>
      <c r="H166" s="350">
        <f t="shared" si="32"/>
        <v>-58830198.770000003</v>
      </c>
      <c r="I166" s="34">
        <f t="shared" si="29"/>
        <v>-419250.22999998927</v>
      </c>
      <c r="J166" s="351">
        <f t="shared" si="18"/>
        <v>7.1264459200464682E-3</v>
      </c>
      <c r="K166" s="707">
        <f>SUM(K167:K171)</f>
        <v>-22268114.700000003</v>
      </c>
      <c r="L166" s="353"/>
      <c r="M166" s="354"/>
      <c r="N166" s="354"/>
      <c r="O166" s="354"/>
      <c r="P166" s="354"/>
      <c r="Q166" s="354"/>
      <c r="R166" s="354"/>
      <c r="S166" s="354"/>
      <c r="T166" s="354"/>
      <c r="U166" s="354"/>
      <c r="V166" s="354"/>
      <c r="W166" s="354"/>
    </row>
    <row r="167" spans="1:23" ht="11.25" customHeight="1" x14ac:dyDescent="0.25">
      <c r="A167" s="30" t="str">
        <f>'Org structure'!E86</f>
        <v>8,1 - FX005001004001 - Financial Management Grant Interns (Finance and Administration) - DR</v>
      </c>
      <c r="B167" s="197"/>
      <c r="C167" s="332">
        <f>'C3Q'!O57</f>
        <v>2500000</v>
      </c>
      <c r="D167" s="704">
        <f>'C3Q'!P57</f>
        <v>2500000</v>
      </c>
      <c r="E167" s="365">
        <f>'C3Q'!Q57</f>
        <v>2500000</v>
      </c>
      <c r="F167" s="365">
        <f>'C3Q'!R57</f>
        <v>174491.17</v>
      </c>
      <c r="G167" s="365">
        <f>'C3Q'!S57</f>
        <v>2038780.47</v>
      </c>
      <c r="H167" s="365">
        <f>'C3Q'!T57</f>
        <v>761802.57</v>
      </c>
      <c r="I167" s="34">
        <f t="shared" si="29"/>
        <v>1276977.8999999999</v>
      </c>
      <c r="J167" s="351">
        <f t="shared" si="18"/>
        <v>1.6762583250408305</v>
      </c>
      <c r="K167" s="332">
        <f>'C3Q'!W57</f>
        <v>2500000</v>
      </c>
      <c r="L167" s="353"/>
      <c r="M167" s="354"/>
      <c r="N167" s="354"/>
      <c r="O167" s="354"/>
      <c r="P167" s="354"/>
      <c r="Q167" s="354"/>
      <c r="R167" s="354"/>
      <c r="S167" s="354"/>
      <c r="T167" s="354"/>
      <c r="U167" s="354"/>
      <c r="V167" s="354"/>
      <c r="W167" s="354"/>
    </row>
    <row r="168" spans="1:23" ht="11.25" customHeight="1" x14ac:dyDescent="0.25">
      <c r="A168" s="30" t="str">
        <f>'Org structure'!E87</f>
        <v>8,2 - FX005001004002 - Revenue and Expenditure (Finance and Administration) - DS</v>
      </c>
      <c r="B168" s="197"/>
      <c r="C168" s="332">
        <f>'C3Q'!O58</f>
        <v>-116605403.18000001</v>
      </c>
      <c r="D168" s="704">
        <f>'C3Q'!P58</f>
        <v>7943900</v>
      </c>
      <c r="E168" s="365">
        <f>'C3Q'!Q58</f>
        <v>-31294222.530000001</v>
      </c>
      <c r="F168" s="365">
        <f>'C3Q'!R58</f>
        <v>3559215.77</v>
      </c>
      <c r="G168" s="365">
        <f>'C3Q'!S58</f>
        <v>-63908825.659999996</v>
      </c>
      <c r="H168" s="365">
        <f>'C3Q'!T58</f>
        <v>-62780022.850000001</v>
      </c>
      <c r="I168" s="34">
        <f t="shared" si="29"/>
        <v>-1128802.8099999949</v>
      </c>
      <c r="J168" s="351">
        <f t="shared" ref="J168:J221" si="33">IF(H168=0,"",I168/H168)</f>
        <v>1.798028670198222E-2</v>
      </c>
      <c r="K168" s="332">
        <f>'C3Q'!W58</f>
        <v>-31294222.530000001</v>
      </c>
      <c r="L168" s="353"/>
      <c r="M168" s="354"/>
      <c r="N168" s="354"/>
      <c r="O168" s="354"/>
      <c r="P168" s="354"/>
      <c r="Q168" s="354"/>
      <c r="R168" s="354"/>
      <c r="S168" s="354"/>
      <c r="T168" s="354"/>
      <c r="U168" s="354"/>
      <c r="V168" s="354"/>
      <c r="W168" s="354"/>
    </row>
    <row r="169" spans="1:23" ht="11.25" customHeight="1" x14ac:dyDescent="0.25">
      <c r="A169" s="30" t="str">
        <f>'Org structure'!E88</f>
        <v>8,3 - FX005001004003 - Finance (Finance and Adminstration) - DT</v>
      </c>
      <c r="B169" s="197"/>
      <c r="C169" s="332">
        <f>'C3Q'!O59</f>
        <v>8031210.7999999998</v>
      </c>
      <c r="D169" s="704">
        <f>'C3Q'!P59</f>
        <v>10412500</v>
      </c>
      <c r="E169" s="365">
        <f>'C3Q'!Q59</f>
        <v>9845900</v>
      </c>
      <c r="F169" s="365">
        <f>'C3Q'!R59</f>
        <v>648920.49</v>
      </c>
      <c r="G169" s="365">
        <f>'C3Q'!S59</f>
        <v>6832226.5700000003</v>
      </c>
      <c r="H169" s="365">
        <f>'C3Q'!T59</f>
        <v>6898893.8499999996</v>
      </c>
      <c r="I169" s="34">
        <f t="shared" si="29"/>
        <v>-66667.279999999329</v>
      </c>
      <c r="J169" s="351">
        <f t="shared" si="33"/>
        <v>-9.6634738045722115E-3</v>
      </c>
      <c r="K169" s="332">
        <f>'C3Q'!W59</f>
        <v>9845900</v>
      </c>
      <c r="L169" s="353"/>
      <c r="M169" s="354"/>
      <c r="N169" s="354"/>
      <c r="O169" s="354"/>
      <c r="P169" s="354"/>
      <c r="Q169" s="354"/>
      <c r="R169" s="354"/>
      <c r="S169" s="354"/>
      <c r="T169" s="354"/>
      <c r="U169" s="354"/>
      <c r="V169" s="354"/>
      <c r="W169" s="354"/>
    </row>
    <row r="170" spans="1:23" ht="11.25" customHeight="1" x14ac:dyDescent="0.25">
      <c r="A170" s="30" t="str">
        <f>'Org structure'!E89</f>
        <v>8,4 - FX005001013 - Supply Chain Management (Finance and Administration) - BQ</v>
      </c>
      <c r="B170" s="197"/>
      <c r="C170" s="332">
        <f>'C3Q'!O60</f>
        <v>4081321.59</v>
      </c>
      <c r="D170" s="704">
        <f>'C3Q'!P60</f>
        <v>-3321900</v>
      </c>
      <c r="E170" s="365">
        <f>'C3Q'!Q60</f>
        <v>-5399492.1699999999</v>
      </c>
      <c r="F170" s="365">
        <f>'C3Q'!R60</f>
        <v>-749373.16</v>
      </c>
      <c r="G170" s="365">
        <f>'C3Q'!S60</f>
        <v>-5984573.3300000001</v>
      </c>
      <c r="H170" s="365">
        <f>'C3Q'!T60</f>
        <v>-5461391.96</v>
      </c>
      <c r="I170" s="34">
        <f t="shared" si="29"/>
        <v>-523181.37000000011</v>
      </c>
      <c r="J170" s="351">
        <f t="shared" si="33"/>
        <v>9.5796341634486915E-2</v>
      </c>
      <c r="K170" s="332">
        <f>'C3Q'!W60</f>
        <v>-5399492.1699999999</v>
      </c>
      <c r="L170" s="353"/>
      <c r="M170" s="354"/>
      <c r="N170" s="354"/>
      <c r="O170" s="354"/>
      <c r="P170" s="354"/>
      <c r="Q170" s="354"/>
      <c r="R170" s="354"/>
      <c r="S170" s="354"/>
      <c r="T170" s="354"/>
      <c r="U170" s="354"/>
      <c r="V170" s="354"/>
      <c r="W170" s="354"/>
    </row>
    <row r="171" spans="1:23" ht="11.25" customHeight="1" x14ac:dyDescent="0.25">
      <c r="A171" s="30" t="str">
        <f>'Org structure'!E90</f>
        <v>8,5 - FX005002001 - Asset Management (Finance and Administration) - BS</v>
      </c>
      <c r="B171" s="197"/>
      <c r="C171" s="332">
        <f>'C3Q'!O61</f>
        <v>2404387.8399999999</v>
      </c>
      <c r="D171" s="704">
        <f>'C3Q'!P61</f>
        <v>3181200</v>
      </c>
      <c r="E171" s="365">
        <f>'C3Q'!Q61</f>
        <v>2079700</v>
      </c>
      <c r="F171" s="365">
        <f>'C3Q'!R61</f>
        <v>168753.82</v>
      </c>
      <c r="G171" s="365">
        <f>'C3Q'!S61</f>
        <v>1772942.95</v>
      </c>
      <c r="H171" s="365">
        <f>'C3Q'!T61</f>
        <v>1750519.62</v>
      </c>
      <c r="I171" s="34">
        <f t="shared" si="29"/>
        <v>22423.329999999842</v>
      </c>
      <c r="J171" s="351">
        <f t="shared" si="33"/>
        <v>1.2809527950335022E-2</v>
      </c>
      <c r="K171" s="332">
        <f>'C3Q'!W61</f>
        <v>2079700</v>
      </c>
      <c r="L171" s="353"/>
      <c r="M171" s="354"/>
      <c r="N171" s="354"/>
      <c r="O171" s="354"/>
      <c r="P171" s="354"/>
      <c r="Q171" s="354"/>
      <c r="R171" s="354"/>
      <c r="S171" s="354"/>
      <c r="T171" s="354"/>
      <c r="U171" s="354"/>
      <c r="V171" s="354"/>
      <c r="W171" s="354"/>
    </row>
    <row r="172" spans="1:23" ht="11.25" customHeight="1" x14ac:dyDescent="0.25">
      <c r="A172" s="66" t="str">
        <f>'Org structure'!A10</f>
        <v>Vote 9 - ELECTRICAL AND ENERGY SUPPLY SERVICES</v>
      </c>
      <c r="B172" s="197"/>
      <c r="C172" s="707">
        <f t="shared" ref="C172:H172" si="34">SUM(C173:C179)</f>
        <v>1995600777.7</v>
      </c>
      <c r="D172" s="723">
        <f t="shared" si="34"/>
        <v>2401290500</v>
      </c>
      <c r="E172" s="349">
        <f t="shared" si="34"/>
        <v>2342808562.7600002</v>
      </c>
      <c r="F172" s="350">
        <f t="shared" si="34"/>
        <v>165463293.88999996</v>
      </c>
      <c r="G172" s="349">
        <f t="shared" si="34"/>
        <v>1994032798.8199997</v>
      </c>
      <c r="H172" s="350">
        <f t="shared" si="34"/>
        <v>1967771108.79</v>
      </c>
      <c r="I172" s="34">
        <f t="shared" si="29"/>
        <v>26261690.029999733</v>
      </c>
      <c r="J172" s="351">
        <f t="shared" si="33"/>
        <v>1.3345906905884131E-2</v>
      </c>
      <c r="K172" s="707">
        <f>SUM(K173:K179)</f>
        <v>2342808562.7600002</v>
      </c>
      <c r="L172" s="353"/>
      <c r="M172" s="354"/>
      <c r="N172" s="354"/>
      <c r="O172" s="354"/>
      <c r="P172" s="354"/>
      <c r="Q172" s="354"/>
      <c r="R172" s="354"/>
      <c r="S172" s="354"/>
      <c r="T172" s="354"/>
      <c r="U172" s="354"/>
      <c r="V172" s="354"/>
      <c r="W172" s="354"/>
    </row>
    <row r="173" spans="1:23" ht="11.25" customHeight="1" x14ac:dyDescent="0.25">
      <c r="A173" s="30" t="str">
        <f>'Org structure'!E97</f>
        <v>9,1 - FX002001001001 - Marketing and Customer relations (Energy Sources) - AI</v>
      </c>
      <c r="B173" s="197"/>
      <c r="C173" s="332">
        <f>'C3Q'!O63</f>
        <v>29041412.530000001</v>
      </c>
      <c r="D173" s="704">
        <f>'C3Q'!P63</f>
        <v>33824800</v>
      </c>
      <c r="E173" s="365">
        <f>'C3Q'!Q63</f>
        <v>31868321.559999999</v>
      </c>
      <c r="F173" s="365">
        <f>'C3Q'!R63</f>
        <v>1874822.4</v>
      </c>
      <c r="G173" s="365">
        <f>'C3Q'!S63</f>
        <v>23702855.809999999</v>
      </c>
      <c r="H173" s="365">
        <f>'C3Q'!T63</f>
        <v>23995530.199999999</v>
      </c>
      <c r="I173" s="34">
        <f t="shared" si="29"/>
        <v>-292674.3900000006</v>
      </c>
      <c r="J173" s="351">
        <f t="shared" si="33"/>
        <v>-1.2197037846656983E-2</v>
      </c>
      <c r="K173" s="332">
        <f>'C3Q'!W63</f>
        <v>31868321.559999999</v>
      </c>
      <c r="L173" s="353"/>
      <c r="M173" s="354"/>
      <c r="N173" s="354"/>
      <c r="O173" s="354"/>
      <c r="P173" s="354"/>
      <c r="Q173" s="354"/>
      <c r="R173" s="354"/>
      <c r="S173" s="354"/>
      <c r="T173" s="354"/>
      <c r="U173" s="354"/>
      <c r="V173" s="354"/>
      <c r="W173" s="354"/>
    </row>
    <row r="174" spans="1:23" ht="11.25" customHeight="1" x14ac:dyDescent="0.25">
      <c r="A174" s="30" t="str">
        <f>'Org structure'!E98</f>
        <v>9,2 - FX002001001002 - Administration (Energy Sources) - AJ</v>
      </c>
      <c r="B174" s="197"/>
      <c r="C174" s="332">
        <f>'C3Q'!O64</f>
        <v>1547330779.9200001</v>
      </c>
      <c r="D174" s="704">
        <f>'C3Q'!P64</f>
        <v>1824263800</v>
      </c>
      <c r="E174" s="365">
        <f>'C3Q'!Q64</f>
        <v>1824038573.49</v>
      </c>
      <c r="F174" s="365">
        <f>'C3Q'!R64</f>
        <v>128146451.31999999</v>
      </c>
      <c r="G174" s="365">
        <f>'C3Q'!S64</f>
        <v>1502166733.1300001</v>
      </c>
      <c r="H174" s="365">
        <f>'C3Q'!T64</f>
        <v>1502953371.04</v>
      </c>
      <c r="I174" s="34">
        <f t="shared" si="29"/>
        <v>-786637.90999984741</v>
      </c>
      <c r="J174" s="351">
        <f t="shared" si="33"/>
        <v>-5.2339475406047817E-4</v>
      </c>
      <c r="K174" s="332">
        <f>'C3Q'!W64</f>
        <v>1824038573.49</v>
      </c>
      <c r="L174" s="353"/>
      <c r="M174" s="354"/>
      <c r="N174" s="354"/>
      <c r="O174" s="354"/>
      <c r="P174" s="354"/>
      <c r="Q174" s="354"/>
      <c r="R174" s="354"/>
      <c r="S174" s="354"/>
      <c r="T174" s="354"/>
      <c r="U174" s="354"/>
      <c r="V174" s="354"/>
      <c r="W174" s="354"/>
    </row>
    <row r="175" spans="1:23" ht="11.25" customHeight="1" x14ac:dyDescent="0.25">
      <c r="A175" s="30" t="str">
        <f>'Org structure'!E99</f>
        <v>9,3 - FX002001001004 - Electricity Distribution (Energy Sources) - AL</v>
      </c>
      <c r="B175" s="197"/>
      <c r="C175" s="332">
        <f>'C3Q'!O65</f>
        <v>240465693</v>
      </c>
      <c r="D175" s="704">
        <f>'C3Q'!P65</f>
        <v>426791200</v>
      </c>
      <c r="E175" s="365">
        <f>'C3Q'!Q65</f>
        <v>366668882.63999999</v>
      </c>
      <c r="F175" s="365">
        <f>'C3Q'!R65</f>
        <v>19813107.780000001</v>
      </c>
      <c r="G175" s="365">
        <f>'C3Q'!S65</f>
        <v>314320777.5</v>
      </c>
      <c r="H175" s="365">
        <f>'C3Q'!T65</f>
        <v>313622329.74000001</v>
      </c>
      <c r="I175" s="34">
        <f t="shared" si="29"/>
        <v>698447.75999999046</v>
      </c>
      <c r="J175" s="351">
        <f t="shared" si="33"/>
        <v>2.2270345373016629E-3</v>
      </c>
      <c r="K175" s="332">
        <f>'C3Q'!W65</f>
        <v>366668882.63999999</v>
      </c>
      <c r="L175" s="353"/>
      <c r="M175" s="354"/>
      <c r="N175" s="354"/>
      <c r="O175" s="354"/>
      <c r="P175" s="354"/>
      <c r="Q175" s="354"/>
      <c r="R175" s="354"/>
      <c r="S175" s="354"/>
      <c r="T175" s="354"/>
      <c r="U175" s="354"/>
      <c r="V175" s="354"/>
      <c r="W175" s="354"/>
    </row>
    <row r="176" spans="1:23" ht="11.25" customHeight="1" x14ac:dyDescent="0.25">
      <c r="A176" s="30" t="str">
        <f>'Org structure'!E100</f>
        <v>9,4 - FX002001001005 - Electricity Planning (Energy Sources) - AN</v>
      </c>
      <c r="B176" s="197"/>
      <c r="C176" s="332">
        <f>'C3Q'!O66</f>
        <v>17907268.27</v>
      </c>
      <c r="D176" s="704">
        <f>'C3Q'!P66</f>
        <v>17394600</v>
      </c>
      <c r="E176" s="365">
        <f>'C3Q'!Q66</f>
        <v>17929900</v>
      </c>
      <c r="F176" s="365">
        <f>'C3Q'!R66</f>
        <v>1459683.35</v>
      </c>
      <c r="G176" s="365">
        <f>'C3Q'!S66</f>
        <v>14751597.369999999</v>
      </c>
      <c r="H176" s="365">
        <f>'C3Q'!T66</f>
        <v>14858445.300000001</v>
      </c>
      <c r="I176" s="34">
        <f t="shared" si="29"/>
        <v>-106847.93000000156</v>
      </c>
      <c r="J176" s="351">
        <f t="shared" si="33"/>
        <v>-7.1910571962735268E-3</v>
      </c>
      <c r="K176" s="332">
        <f>'C3Q'!W66</f>
        <v>17929900</v>
      </c>
      <c r="L176" s="353"/>
      <c r="M176" s="354"/>
      <c r="N176" s="354"/>
      <c r="O176" s="354"/>
      <c r="P176" s="354"/>
      <c r="Q176" s="354"/>
      <c r="R176" s="354"/>
      <c r="S176" s="354"/>
      <c r="T176" s="354"/>
      <c r="U176" s="354"/>
      <c r="V176" s="354"/>
      <c r="W176" s="354"/>
    </row>
    <row r="177" spans="1:23" ht="11.25" customHeight="1" x14ac:dyDescent="0.25">
      <c r="A177" s="30" t="str">
        <f>'Org structure'!E101</f>
        <v>9,5 - FX002001002001 - Street Lighting (Energy Sources) - AP</v>
      </c>
      <c r="B177" s="197"/>
      <c r="C177" s="332">
        <f>'C3Q'!O67</f>
        <v>26868472.120000001</v>
      </c>
      <c r="D177" s="704">
        <f>'C3Q'!P67</f>
        <v>32012200</v>
      </c>
      <c r="E177" s="365">
        <f>'C3Q'!Q67</f>
        <v>29626687.550000001</v>
      </c>
      <c r="F177" s="365">
        <f>'C3Q'!R67</f>
        <v>1997486.17</v>
      </c>
      <c r="G177" s="365">
        <f>'C3Q'!S67</f>
        <v>20609758.329999998</v>
      </c>
      <c r="H177" s="365">
        <f>'C3Q'!T67</f>
        <v>21288713.170000002</v>
      </c>
      <c r="I177" s="34">
        <f t="shared" si="29"/>
        <v>-678954.84000000358</v>
      </c>
      <c r="J177" s="351">
        <f t="shared" si="33"/>
        <v>-3.189271397374948E-2</v>
      </c>
      <c r="K177" s="332">
        <f>'C3Q'!W67</f>
        <v>29626687.550000001</v>
      </c>
      <c r="L177" s="353"/>
      <c r="M177" s="354"/>
      <c r="N177" s="354"/>
      <c r="O177" s="354"/>
      <c r="P177" s="354"/>
      <c r="Q177" s="354"/>
      <c r="R177" s="354"/>
      <c r="S177" s="354"/>
      <c r="T177" s="354"/>
      <c r="U177" s="354"/>
      <c r="V177" s="354"/>
      <c r="W177" s="354"/>
    </row>
    <row r="178" spans="1:23" ht="11.25" customHeight="1" x14ac:dyDescent="0.25">
      <c r="A178" s="30" t="str">
        <f>'Org structure'!E102</f>
        <v>9,6 - FX002001002002 - Process Control Systems (Energy Sources) - AQ</v>
      </c>
      <c r="B178" s="197"/>
      <c r="C178" s="332">
        <f>'C3Q'!O68</f>
        <v>30276870.219999999</v>
      </c>
      <c r="D178" s="704">
        <f>'C3Q'!P68</f>
        <v>38949900</v>
      </c>
      <c r="E178" s="365">
        <f>'C3Q'!Q68</f>
        <v>38972830.229999997</v>
      </c>
      <c r="F178" s="365">
        <f>'C3Q'!R68</f>
        <v>3856753.73</v>
      </c>
      <c r="G178" s="365">
        <f>'C3Q'!S68</f>
        <v>30743049.57</v>
      </c>
      <c r="H178" s="365">
        <f>'C3Q'!T68</f>
        <v>33542183.120000001</v>
      </c>
      <c r="I178" s="34">
        <f t="shared" si="29"/>
        <v>-2799133.5500000007</v>
      </c>
      <c r="J178" s="351">
        <f t="shared" si="33"/>
        <v>-8.3451143892031815E-2</v>
      </c>
      <c r="K178" s="332">
        <f>'C3Q'!W68</f>
        <v>38972830.229999997</v>
      </c>
      <c r="L178" s="353"/>
      <c r="M178" s="354"/>
      <c r="N178" s="354"/>
      <c r="O178" s="354"/>
      <c r="P178" s="354"/>
      <c r="Q178" s="354"/>
      <c r="R178" s="354"/>
      <c r="S178" s="354"/>
      <c r="T178" s="354"/>
      <c r="U178" s="354"/>
      <c r="V178" s="354"/>
      <c r="W178" s="354"/>
    </row>
    <row r="179" spans="1:23" ht="11.25" customHeight="1" x14ac:dyDescent="0.25">
      <c r="A179" s="30" t="str">
        <f>'Org structure'!E103</f>
        <v>9,7 - FX005001005 - Fleet Management (Finance and Administration) - BF</v>
      </c>
      <c r="B179" s="197"/>
      <c r="C179" s="332">
        <f>'C3Q'!O69</f>
        <v>103710281.64</v>
      </c>
      <c r="D179" s="704">
        <f>'C3Q'!P69</f>
        <v>28054000</v>
      </c>
      <c r="E179" s="365">
        <f>'C3Q'!Q69</f>
        <v>33703367.289999999</v>
      </c>
      <c r="F179" s="365">
        <f>'C3Q'!R69</f>
        <v>8314989.1399999997</v>
      </c>
      <c r="G179" s="365">
        <f>'C3Q'!S69</f>
        <v>87738027.109999999</v>
      </c>
      <c r="H179" s="365">
        <f>'C3Q'!T69</f>
        <v>57510536.219999999</v>
      </c>
      <c r="I179" s="34">
        <f t="shared" si="29"/>
        <v>30227490.890000001</v>
      </c>
      <c r="J179" s="351">
        <f t="shared" si="33"/>
        <v>0.52559918367598213</v>
      </c>
      <c r="K179" s="332">
        <f>'C3Q'!W69</f>
        <v>33703367.289999999</v>
      </c>
      <c r="L179" s="353"/>
      <c r="M179" s="354"/>
      <c r="N179" s="354"/>
      <c r="O179" s="354"/>
      <c r="P179" s="354"/>
      <c r="Q179" s="354"/>
      <c r="R179" s="354"/>
      <c r="S179" s="354"/>
      <c r="T179" s="354"/>
      <c r="U179" s="354"/>
      <c r="V179" s="354"/>
      <c r="W179" s="354"/>
    </row>
    <row r="180" spans="1:23" ht="11.25" customHeight="1" x14ac:dyDescent="0.25">
      <c r="A180" s="66" t="str">
        <f>'Org structure'!A11</f>
        <v>Vote 10 - INFRASTRUCTURE SERVICES - INFRASTRUCTURE AND FACILITIES MANAGEMENT SERVICES</v>
      </c>
      <c r="B180" s="197"/>
      <c r="C180" s="707">
        <f t="shared" ref="C180:H180" si="35">SUM(C181:C182)</f>
        <v>16734688.380000001</v>
      </c>
      <c r="D180" s="723">
        <f t="shared" si="35"/>
        <v>19896100</v>
      </c>
      <c r="E180" s="349">
        <f t="shared" si="35"/>
        <v>18002527.959999997</v>
      </c>
      <c r="F180" s="350">
        <f t="shared" si="35"/>
        <v>990002.04</v>
      </c>
      <c r="G180" s="349">
        <f t="shared" si="35"/>
        <v>11847528.459999999</v>
      </c>
      <c r="H180" s="350">
        <f t="shared" si="35"/>
        <v>13659882.649999999</v>
      </c>
      <c r="I180" s="34">
        <f t="shared" si="29"/>
        <v>-1812354.1899999995</v>
      </c>
      <c r="J180" s="351">
        <f t="shared" si="33"/>
        <v>-0.13267714199579889</v>
      </c>
      <c r="K180" s="707">
        <f>SUM(K181:K182)</f>
        <v>18002527.959999997</v>
      </c>
      <c r="L180" s="353"/>
      <c r="M180" s="354"/>
      <c r="N180" s="354"/>
      <c r="O180" s="354"/>
      <c r="P180" s="354"/>
      <c r="Q180" s="354"/>
      <c r="R180" s="354"/>
      <c r="S180" s="354"/>
      <c r="T180" s="354"/>
      <c r="U180" s="354"/>
      <c r="V180" s="354"/>
      <c r="W180" s="354"/>
    </row>
    <row r="181" spans="1:23" ht="11.25" customHeight="1" x14ac:dyDescent="0.25">
      <c r="A181" s="30" t="str">
        <f>'Org structure'!E108</f>
        <v>10.1 - FX001001005001 - Buildings Maintenance (Community and Social Services) - AB</v>
      </c>
      <c r="B181" s="197"/>
      <c r="C181" s="332">
        <f>'C3Q'!O71</f>
        <v>17646764.16</v>
      </c>
      <c r="D181" s="704">
        <f>'C3Q'!P71</f>
        <v>19783900</v>
      </c>
      <c r="E181" s="365">
        <f>'C3Q'!Q71</f>
        <v>18921460.739999998</v>
      </c>
      <c r="F181" s="365">
        <f>'C3Q'!R71</f>
        <v>1464584.34</v>
      </c>
      <c r="G181" s="365">
        <f>'C3Q'!S71</f>
        <v>13491108.109999999</v>
      </c>
      <c r="H181" s="365">
        <f>'C3Q'!T71</f>
        <v>13915633.699999999</v>
      </c>
      <c r="I181" s="34">
        <f t="shared" si="29"/>
        <v>-424525.58999999985</v>
      </c>
      <c r="J181" s="351">
        <f t="shared" si="33"/>
        <v>-3.0507097208228459E-2</v>
      </c>
      <c r="K181" s="332">
        <f>'C3Q'!W71</f>
        <v>18921460.739999998</v>
      </c>
      <c r="L181" s="353"/>
      <c r="M181" s="354"/>
      <c r="N181" s="354"/>
      <c r="O181" s="354"/>
      <c r="P181" s="354"/>
      <c r="Q181" s="354"/>
      <c r="R181" s="354"/>
      <c r="S181" s="354"/>
      <c r="T181" s="354"/>
      <c r="U181" s="354"/>
      <c r="V181" s="354"/>
      <c r="W181" s="354"/>
    </row>
    <row r="182" spans="1:23" ht="11.25" customHeight="1" x14ac:dyDescent="0.25">
      <c r="A182" s="30" t="str">
        <f>'Org structure'!E109</f>
        <v>10.2 - FX010001007002 - Project Management Unit - Asset Management (Planning and Development) - CF</v>
      </c>
      <c r="B182" s="197"/>
      <c r="C182" s="332">
        <f>'C3Q'!O72</f>
        <v>-912075.78</v>
      </c>
      <c r="D182" s="704">
        <f>'C3Q'!P72</f>
        <v>112200</v>
      </c>
      <c r="E182" s="365">
        <f>'C3Q'!Q72</f>
        <v>-918932.78</v>
      </c>
      <c r="F182" s="365">
        <f>'C3Q'!R72</f>
        <v>-474582.3</v>
      </c>
      <c r="G182" s="365">
        <f>'C3Q'!S72</f>
        <v>-1643579.65</v>
      </c>
      <c r="H182" s="365">
        <f>'C3Q'!T72</f>
        <v>-255751.05</v>
      </c>
      <c r="I182" s="34">
        <f t="shared" si="29"/>
        <v>-1387828.5999999999</v>
      </c>
      <c r="J182" s="351">
        <f t="shared" si="33"/>
        <v>5.4264825110199935</v>
      </c>
      <c r="K182" s="332">
        <f>'C3Q'!W72</f>
        <v>-918932.78</v>
      </c>
      <c r="L182" s="353"/>
      <c r="M182" s="354"/>
      <c r="N182" s="354"/>
      <c r="O182" s="354"/>
      <c r="P182" s="354"/>
      <c r="Q182" s="354"/>
      <c r="R182" s="354"/>
      <c r="S182" s="354"/>
      <c r="T182" s="354"/>
      <c r="U182" s="354"/>
      <c r="V182" s="354"/>
      <c r="W182" s="354"/>
    </row>
    <row r="183" spans="1:23" ht="11.25" customHeight="1" x14ac:dyDescent="0.25">
      <c r="A183" s="66" t="str">
        <f>'Org structure'!A12</f>
        <v>Vote 11 - INFRASTRUCTURE SERVICES - CIVIL ENGINEERING SERVICES</v>
      </c>
      <c r="B183" s="197"/>
      <c r="C183" s="707">
        <f>SUM(C184:C196)</f>
        <v>1879138714.3799999</v>
      </c>
      <c r="D183" s="350">
        <f t="shared" ref="D183:K183" si="36">SUM(D184:D196)</f>
        <v>1865631200</v>
      </c>
      <c r="E183" s="348">
        <f t="shared" si="36"/>
        <v>1867326203.48</v>
      </c>
      <c r="F183" s="348">
        <f t="shared" si="36"/>
        <v>129240117.46000001</v>
      </c>
      <c r="G183" s="348">
        <f t="shared" si="36"/>
        <v>1595368458.46</v>
      </c>
      <c r="H183" s="348">
        <f t="shared" si="36"/>
        <v>1590861748.52</v>
      </c>
      <c r="I183" s="34">
        <f t="shared" si="29"/>
        <v>4506709.9400000572</v>
      </c>
      <c r="J183" s="351">
        <f t="shared" si="33"/>
        <v>2.8328734059969132E-3</v>
      </c>
      <c r="K183" s="707">
        <f t="shared" si="36"/>
        <v>1867326203.48</v>
      </c>
      <c r="L183" s="353"/>
      <c r="M183" s="354"/>
      <c r="N183" s="354"/>
      <c r="O183" s="354"/>
      <c r="P183" s="354"/>
      <c r="Q183" s="354"/>
      <c r="R183" s="354"/>
      <c r="S183" s="354"/>
      <c r="T183" s="354"/>
      <c r="U183" s="354"/>
      <c r="V183" s="354"/>
      <c r="W183" s="354"/>
    </row>
    <row r="184" spans="1:23" ht="11.25" customHeight="1" x14ac:dyDescent="0.25">
      <c r="A184" s="30" t="str">
        <f>'Org structure'!E119</f>
        <v>11.1 - FX012001004001 - Roads - Railway Sidings (Road Transport) - CM</v>
      </c>
      <c r="B184" s="197"/>
      <c r="C184" s="332">
        <f>'C3Q'!O74</f>
        <v>679718.81</v>
      </c>
      <c r="D184" s="704">
        <f>'C3Q'!P74</f>
        <v>1497200</v>
      </c>
      <c r="E184" s="365">
        <f>'C3Q'!Q74</f>
        <v>1491652.61</v>
      </c>
      <c r="F184" s="365">
        <f>'C3Q'!R74</f>
        <v>117891.45</v>
      </c>
      <c r="G184" s="365">
        <f>'C3Q'!S74</f>
        <v>205008.68</v>
      </c>
      <c r="H184" s="365">
        <f>'C3Q'!T74</f>
        <v>686608.67</v>
      </c>
      <c r="I184" s="34">
        <f t="shared" si="29"/>
        <v>-481599.99000000005</v>
      </c>
      <c r="J184" s="351">
        <f t="shared" si="33"/>
        <v>-0.70141845135745229</v>
      </c>
      <c r="K184" s="332">
        <f>'C3Q'!W74</f>
        <v>1491652.61</v>
      </c>
      <c r="L184" s="704" t="e">
        <f>'C3Q'!#REF!</f>
        <v>#REF!</v>
      </c>
      <c r="M184" s="365" t="str">
        <f>'C3Q'!A73</f>
        <v>VOTE11 - INFRASTRUCTURE SERVICES - CIVIL ENGINEERING SERVICE</v>
      </c>
      <c r="N184" s="365" t="e">
        <f>'C3Q'!#REF!</f>
        <v>#REF!</v>
      </c>
      <c r="O184" s="365" t="e">
        <f>'C3Q'!#REF!</f>
        <v>#REF!</v>
      </c>
      <c r="P184" s="365" t="e">
        <f>'C3Q'!#REF!</f>
        <v>#REF!</v>
      </c>
      <c r="Q184" s="365" t="e">
        <f>'C3Q'!#REF!</f>
        <v>#REF!</v>
      </c>
      <c r="R184" s="365" t="e">
        <f>'C3Q'!#REF!</f>
        <v>#REF!</v>
      </c>
      <c r="S184" s="365" t="e">
        <f>'C3Q'!#REF!</f>
        <v>#REF!</v>
      </c>
      <c r="T184" s="365" t="e">
        <f>'C3Q'!#REF!</f>
        <v>#REF!</v>
      </c>
      <c r="U184" s="365" t="e">
        <f>'C3Q'!#REF!</f>
        <v>#REF!</v>
      </c>
      <c r="V184" s="365" t="e">
        <f>'C3Q'!#REF!</f>
        <v>#REF!</v>
      </c>
      <c r="W184" s="365" t="e">
        <f>'C3Q'!#REF!</f>
        <v>#REF!</v>
      </c>
    </row>
    <row r="185" spans="1:23" ht="11.25" customHeight="1" x14ac:dyDescent="0.25">
      <c r="A185" s="30" t="str">
        <f>'Org structure'!E120</f>
        <v>11.2 - FX012001004002 - Roads - Urban Roads (Road Transport) - CN</v>
      </c>
      <c r="B185" s="197"/>
      <c r="C185" s="332">
        <f>'C3Q'!O75</f>
        <v>170369443.75</v>
      </c>
      <c r="D185" s="704">
        <f>'C3Q'!P75</f>
        <v>149544800</v>
      </c>
      <c r="E185" s="365">
        <f>'C3Q'!Q75</f>
        <v>154852051.06</v>
      </c>
      <c r="F185" s="365">
        <f>'C3Q'!R75</f>
        <v>12691180.460000001</v>
      </c>
      <c r="G185" s="365">
        <f>'C3Q'!S75</f>
        <v>136334774.22</v>
      </c>
      <c r="H185" s="365">
        <f>'C3Q'!T75</f>
        <v>136003188.09999999</v>
      </c>
      <c r="I185" s="34">
        <f t="shared" si="29"/>
        <v>331586.12000000477</v>
      </c>
      <c r="J185" s="351">
        <f t="shared" si="33"/>
        <v>2.43807608212976E-3</v>
      </c>
      <c r="K185" s="332">
        <f>'C3Q'!W75</f>
        <v>154852051.06</v>
      </c>
      <c r="L185" s="353"/>
      <c r="M185" s="354"/>
      <c r="N185" s="354"/>
      <c r="O185" s="354"/>
      <c r="P185" s="354"/>
      <c r="Q185" s="354"/>
      <c r="R185" s="354"/>
      <c r="S185" s="354"/>
      <c r="T185" s="354"/>
      <c r="U185" s="354"/>
      <c r="V185" s="354"/>
      <c r="W185" s="354"/>
    </row>
    <row r="186" spans="1:23" ht="11.25" customHeight="1" x14ac:dyDescent="0.25">
      <c r="A186" s="30" t="str">
        <f>'Org structure'!E121</f>
        <v>11.3 - FX012001004003 - Roads - Rural Roads (Road Transport) - CO</v>
      </c>
      <c r="B186" s="197"/>
      <c r="C186" s="332">
        <f>'C3Q'!O76</f>
        <v>103168732.97</v>
      </c>
      <c r="D186" s="704">
        <f>'C3Q'!P76</f>
        <v>106705200</v>
      </c>
      <c r="E186" s="365">
        <f>'C3Q'!Q76</f>
        <v>102979814.75</v>
      </c>
      <c r="F186" s="365">
        <f>'C3Q'!R76</f>
        <v>8773891.75</v>
      </c>
      <c r="G186" s="365">
        <f>'C3Q'!S76</f>
        <v>87935488.400000006</v>
      </c>
      <c r="H186" s="365">
        <f>'C3Q'!T76</f>
        <v>89778832.109999999</v>
      </c>
      <c r="I186" s="34">
        <f t="shared" si="29"/>
        <v>-1843343.7099999934</v>
      </c>
      <c r="J186" s="351">
        <f t="shared" si="33"/>
        <v>-2.0532052675194836E-2</v>
      </c>
      <c r="K186" s="332">
        <f>'C3Q'!W76</f>
        <v>102979814.75</v>
      </c>
      <c r="L186" s="353"/>
      <c r="M186" s="354"/>
      <c r="N186" s="354"/>
      <c r="O186" s="354"/>
      <c r="P186" s="354"/>
      <c r="Q186" s="354"/>
      <c r="R186" s="354"/>
      <c r="S186" s="354"/>
      <c r="T186" s="354"/>
      <c r="U186" s="354"/>
      <c r="V186" s="354"/>
      <c r="W186" s="354"/>
    </row>
    <row r="187" spans="1:23" ht="11.25" customHeight="1" x14ac:dyDescent="0.25">
      <c r="A187" s="30" t="str">
        <f>'Org structure'!E122</f>
        <v>11.4 - FX015001003 - Storm Water Management (Waste Water Management) - DJ</v>
      </c>
      <c r="B187" s="197"/>
      <c r="C187" s="332">
        <f>'C3Q'!O77</f>
        <v>37737038.799999997</v>
      </c>
      <c r="D187" s="704">
        <f>'C3Q'!P77</f>
        <v>38351000</v>
      </c>
      <c r="E187" s="365">
        <f>'C3Q'!Q77</f>
        <v>40266353.18</v>
      </c>
      <c r="F187" s="365">
        <f>'C3Q'!R77</f>
        <v>2621957.0099999998</v>
      </c>
      <c r="G187" s="365">
        <f>'C3Q'!S77</f>
        <v>33916863.259999998</v>
      </c>
      <c r="H187" s="365">
        <f>'C3Q'!T77</f>
        <v>35604189.789999999</v>
      </c>
      <c r="I187" s="34">
        <f t="shared" si="29"/>
        <v>-1687326.5300000012</v>
      </c>
      <c r="J187" s="351">
        <f t="shared" si="33"/>
        <v>-4.7391235131375282E-2</v>
      </c>
      <c r="K187" s="332">
        <f>'C3Q'!W77</f>
        <v>40266353.18</v>
      </c>
      <c r="L187" s="353"/>
      <c r="M187" s="354"/>
      <c r="N187" s="354"/>
      <c r="O187" s="354"/>
      <c r="P187" s="354"/>
      <c r="Q187" s="354"/>
      <c r="R187" s="354"/>
      <c r="S187" s="354"/>
      <c r="T187" s="354"/>
      <c r="U187" s="354"/>
      <c r="V187" s="354"/>
      <c r="W187" s="354"/>
    </row>
    <row r="188" spans="1:23" ht="11.25" customHeight="1" x14ac:dyDescent="0.25">
      <c r="A188" s="30" t="str">
        <f>'Org structure'!E123</f>
        <v>11.5 - FX003001002 - Coastal Protection (Environmental Protection) - DU</v>
      </c>
      <c r="B188" s="197"/>
      <c r="C188" s="332">
        <f>'C3Q'!O78</f>
        <v>31600</v>
      </c>
      <c r="D188" s="704">
        <f>'C3Q'!P78</f>
        <v>4900</v>
      </c>
      <c r="E188" s="365">
        <f>'C3Q'!Q78</f>
        <v>6804700</v>
      </c>
      <c r="F188" s="365">
        <f>'C3Q'!R78</f>
        <v>583732.67000000004</v>
      </c>
      <c r="G188" s="365">
        <f>'C3Q'!S78</f>
        <v>1861238.7</v>
      </c>
      <c r="H188" s="365">
        <f>'C3Q'!T78</f>
        <v>915379.19</v>
      </c>
      <c r="I188" s="34">
        <f t="shared" si="29"/>
        <v>945859.51</v>
      </c>
      <c r="J188" s="351">
        <f t="shared" si="33"/>
        <v>1.0332980259251907</v>
      </c>
      <c r="K188" s="332">
        <f>'C3Q'!W78</f>
        <v>6804700</v>
      </c>
      <c r="L188" s="353"/>
      <c r="M188" s="354"/>
      <c r="N188" s="354"/>
      <c r="O188" s="354"/>
      <c r="P188" s="354"/>
      <c r="Q188" s="354"/>
      <c r="R188" s="354"/>
      <c r="S188" s="354"/>
      <c r="T188" s="354"/>
      <c r="U188" s="354"/>
      <c r="V188" s="354"/>
      <c r="W188" s="354"/>
    </row>
    <row r="189" spans="1:23" ht="11.25" customHeight="1" x14ac:dyDescent="0.25">
      <c r="A189" s="30" t="str">
        <f>'Org structure'!E124</f>
        <v>11.6 - FX015001002001 - Sewerage - Industrial Effluent Pipeline (Waste Water Management) - DG</v>
      </c>
      <c r="B189" s="197"/>
      <c r="C189" s="332">
        <f>'C3Q'!O79</f>
        <v>972070.45</v>
      </c>
      <c r="D189" s="704">
        <f>'C3Q'!P79</f>
        <v>1070400</v>
      </c>
      <c r="E189" s="365">
        <f>'C3Q'!Q79</f>
        <v>1102800</v>
      </c>
      <c r="F189" s="365">
        <f>'C3Q'!R79</f>
        <v>50260.26</v>
      </c>
      <c r="G189" s="365">
        <f>'C3Q'!S79</f>
        <v>906821.88</v>
      </c>
      <c r="H189" s="365">
        <f>'C3Q'!T79</f>
        <v>916186.46</v>
      </c>
      <c r="I189" s="34">
        <f t="shared" si="29"/>
        <v>-9364.5799999999581</v>
      </c>
      <c r="J189" s="351">
        <f t="shared" si="33"/>
        <v>-1.0221259982383889E-2</v>
      </c>
      <c r="K189" s="332">
        <f>'C3Q'!W79</f>
        <v>1102800</v>
      </c>
      <c r="L189" s="353"/>
      <c r="M189" s="354"/>
      <c r="N189" s="354"/>
      <c r="O189" s="354"/>
      <c r="P189" s="354"/>
      <c r="Q189" s="354"/>
      <c r="R189" s="354"/>
      <c r="S189" s="354"/>
      <c r="T189" s="354"/>
      <c r="U189" s="354"/>
      <c r="V189" s="354"/>
      <c r="W189" s="354"/>
    </row>
    <row r="190" spans="1:23" ht="11.25" customHeight="1" x14ac:dyDescent="0.25">
      <c r="A190" s="30" t="str">
        <f>'Org structure'!E125</f>
        <v>11.7 - FX015001002002 - Sewerage - Pumpstations (Waste Water Management) - DH</v>
      </c>
      <c r="B190" s="197"/>
      <c r="C190" s="332">
        <f>'C3Q'!O80</f>
        <v>63223421.850000001</v>
      </c>
      <c r="D190" s="704">
        <f>'C3Q'!P80</f>
        <v>67539300</v>
      </c>
      <c r="E190" s="365">
        <f>'C3Q'!Q80</f>
        <v>71063928.200000003</v>
      </c>
      <c r="F190" s="365">
        <f>'C3Q'!R80</f>
        <v>3243917.98</v>
      </c>
      <c r="G190" s="365">
        <f>'C3Q'!S80</f>
        <v>51254873.600000001</v>
      </c>
      <c r="H190" s="365">
        <f>'C3Q'!T80</f>
        <v>56399778.810000002</v>
      </c>
      <c r="I190" s="34">
        <f t="shared" si="29"/>
        <v>-5144905.2100000009</v>
      </c>
      <c r="J190" s="351">
        <f t="shared" si="33"/>
        <v>-9.1222081337095237E-2</v>
      </c>
      <c r="K190" s="332">
        <f>'C3Q'!W80</f>
        <v>71063928.200000003</v>
      </c>
      <c r="L190" s="353"/>
      <c r="M190" s="354"/>
      <c r="N190" s="354"/>
      <c r="O190" s="354"/>
      <c r="P190" s="354"/>
      <c r="Q190" s="354"/>
      <c r="R190" s="354"/>
      <c r="S190" s="354"/>
      <c r="T190" s="354"/>
      <c r="U190" s="354"/>
      <c r="V190" s="354"/>
      <c r="W190" s="354"/>
    </row>
    <row r="191" spans="1:23" ht="11.25" customHeight="1" x14ac:dyDescent="0.25">
      <c r="A191" s="30" t="str">
        <f>'Org structure'!E126</f>
        <v>11.8 - FX015001002003 - Sewerage - Sewerage Network (Waste Water Management) - DI</v>
      </c>
      <c r="B191" s="197"/>
      <c r="C191" s="332">
        <f>'C3Q'!O81</f>
        <v>135113126.52000001</v>
      </c>
      <c r="D191" s="704">
        <f>'C3Q'!P81</f>
        <v>141075300</v>
      </c>
      <c r="E191" s="365">
        <f>'C3Q'!Q81</f>
        <v>134797948.28</v>
      </c>
      <c r="F191" s="365">
        <f>'C3Q'!R81</f>
        <v>9715246.3100000005</v>
      </c>
      <c r="G191" s="365">
        <f>'C3Q'!S81</f>
        <v>109838629.18000001</v>
      </c>
      <c r="H191" s="365">
        <f>'C3Q'!T81</f>
        <v>112131124.70999999</v>
      </c>
      <c r="I191" s="34">
        <f t="shared" si="29"/>
        <v>-2292495.5299999863</v>
      </c>
      <c r="J191" s="351">
        <f t="shared" si="33"/>
        <v>-2.0444774240238568E-2</v>
      </c>
      <c r="K191" s="332">
        <f>'C3Q'!W81</f>
        <v>134797948.28</v>
      </c>
      <c r="L191" s="353"/>
      <c r="M191" s="354"/>
      <c r="N191" s="354"/>
      <c r="O191" s="354"/>
      <c r="P191" s="354"/>
      <c r="Q191" s="354"/>
      <c r="R191" s="354"/>
      <c r="S191" s="354"/>
      <c r="T191" s="354"/>
      <c r="U191" s="354"/>
      <c r="V191" s="354"/>
      <c r="W191" s="354"/>
    </row>
    <row r="192" spans="1:23" ht="11.25" customHeight="1" x14ac:dyDescent="0.25">
      <c r="A192" s="30" t="str">
        <f>'Org structure'!E127</f>
        <v>11.9 - FX015001004 - Treatment (Waste Water Management) - DK</v>
      </c>
      <c r="B192" s="197"/>
      <c r="C192" s="332">
        <f>'C3Q'!O82</f>
        <v>97305341.409999996</v>
      </c>
      <c r="D192" s="704">
        <f>'C3Q'!P82</f>
        <v>96186200</v>
      </c>
      <c r="E192" s="365">
        <f>'C3Q'!Q82</f>
        <v>101036363.7</v>
      </c>
      <c r="F192" s="365">
        <f>'C3Q'!R82</f>
        <v>7523529.3099999996</v>
      </c>
      <c r="G192" s="365">
        <f>'C3Q'!S82</f>
        <v>84018171.030000001</v>
      </c>
      <c r="H192" s="365">
        <f>'C3Q'!T82</f>
        <v>87702709.629999995</v>
      </c>
      <c r="I192" s="34">
        <f t="shared" si="29"/>
        <v>-3684538.599999994</v>
      </c>
      <c r="J192" s="351">
        <f t="shared" si="33"/>
        <v>-4.201168487888593E-2</v>
      </c>
      <c r="K192" s="332">
        <f>'C3Q'!W82</f>
        <v>101036363.7</v>
      </c>
      <c r="L192" s="353"/>
      <c r="M192" s="354"/>
      <c r="N192" s="354"/>
      <c r="O192" s="354"/>
      <c r="P192" s="354"/>
      <c r="Q192" s="354"/>
      <c r="R192" s="354"/>
      <c r="S192" s="354"/>
      <c r="T192" s="354"/>
      <c r="U192" s="354"/>
      <c r="V192" s="354"/>
      <c r="W192" s="354"/>
    </row>
    <row r="193" spans="1:23" ht="11.25" customHeight="1" x14ac:dyDescent="0.25">
      <c r="A193" s="30" t="str">
        <f>'Org structure'!E128</f>
        <v>11.10 - FX016001002004 - Water Distribution (Clarified Water) - DP</v>
      </c>
      <c r="B193" s="197"/>
      <c r="C193" s="332">
        <f>'C3Q'!O83</f>
        <v>32370243.399999999</v>
      </c>
      <c r="D193" s="704">
        <f>'C3Q'!P83</f>
        <v>30274100</v>
      </c>
      <c r="E193" s="365">
        <f>'C3Q'!Q83</f>
        <v>30274100</v>
      </c>
      <c r="F193" s="365">
        <f>'C3Q'!R83</f>
        <v>2304939.9</v>
      </c>
      <c r="G193" s="365">
        <f>'C3Q'!S83</f>
        <v>28183103.75</v>
      </c>
      <c r="H193" s="365">
        <f>'C3Q'!T83</f>
        <v>26307219.800000001</v>
      </c>
      <c r="I193" s="34">
        <f t="shared" si="29"/>
        <v>1875883.9499999993</v>
      </c>
      <c r="J193" s="351">
        <f t="shared" si="33"/>
        <v>7.1306810991863118E-2</v>
      </c>
      <c r="K193" s="332">
        <f>'C3Q'!W83</f>
        <v>30274100</v>
      </c>
      <c r="L193" s="353"/>
      <c r="M193" s="354"/>
      <c r="N193" s="354"/>
      <c r="O193" s="354"/>
      <c r="P193" s="354"/>
      <c r="Q193" s="354"/>
      <c r="R193" s="354"/>
      <c r="S193" s="354"/>
      <c r="T193" s="354"/>
      <c r="U193" s="354"/>
      <c r="V193" s="354"/>
      <c r="W193" s="354"/>
    </row>
    <row r="194" spans="1:23" ht="11.25" customHeight="1" x14ac:dyDescent="0.25">
      <c r="A194" s="30" t="str">
        <f>'Org structure'!E129</f>
        <v>11.11 - FX016001002005 - Water Distibution (Purification Works) - DQ</v>
      </c>
      <c r="B194" s="197"/>
      <c r="C194" s="332">
        <f>'C3Q'!O84</f>
        <v>900968735.61000001</v>
      </c>
      <c r="D194" s="704">
        <f>'C3Q'!P84</f>
        <v>867231300</v>
      </c>
      <c r="E194" s="365">
        <f>'C3Q'!Q84</f>
        <v>866886354.44000006</v>
      </c>
      <c r="F194" s="365">
        <f>'C3Q'!R84</f>
        <v>62719157.020000003</v>
      </c>
      <c r="G194" s="365">
        <f>'C3Q'!S84</f>
        <v>777545815.24000001</v>
      </c>
      <c r="H194" s="365">
        <f>'C3Q'!T84</f>
        <v>753458561.60000002</v>
      </c>
      <c r="I194" s="34">
        <f t="shared" si="29"/>
        <v>24087253.639999986</v>
      </c>
      <c r="J194" s="351">
        <f t="shared" si="33"/>
        <v>3.1968916231902282E-2</v>
      </c>
      <c r="K194" s="332">
        <f>'C3Q'!W84</f>
        <v>866886354.44000006</v>
      </c>
      <c r="L194" s="353"/>
      <c r="M194" s="354"/>
      <c r="N194" s="354"/>
      <c r="O194" s="354"/>
      <c r="P194" s="354"/>
      <c r="Q194" s="354"/>
      <c r="R194" s="354"/>
      <c r="S194" s="354"/>
      <c r="T194" s="354"/>
      <c r="U194" s="354"/>
      <c r="V194" s="354"/>
      <c r="W194" s="354"/>
    </row>
    <row r="195" spans="1:23" ht="11.25" customHeight="1" x14ac:dyDescent="0.25">
      <c r="A195" s="30" t="str">
        <f>'Org structure'!E130</f>
        <v>11.12 - FX016001002001 - Water Distribution - Rural Water (Water Management) - DM</v>
      </c>
      <c r="B195" s="197"/>
      <c r="C195" s="332">
        <f>'C3Q'!O85</f>
        <v>88490382</v>
      </c>
      <c r="D195" s="704">
        <f>'C3Q'!P85</f>
        <v>83968400</v>
      </c>
      <c r="E195" s="365">
        <f>'C3Q'!Q85</f>
        <v>83684689.859999999</v>
      </c>
      <c r="F195" s="365">
        <f>'C3Q'!R85</f>
        <v>4547101.1399999997</v>
      </c>
      <c r="G195" s="365">
        <f>'C3Q'!S85</f>
        <v>57831399.950000003</v>
      </c>
      <c r="H195" s="365">
        <f>'C3Q'!T85</f>
        <v>63657069.990000002</v>
      </c>
      <c r="I195" s="34">
        <f t="shared" si="29"/>
        <v>-5825670.0399999991</v>
      </c>
      <c r="J195" s="351">
        <f t="shared" si="33"/>
        <v>-9.1516465349648732E-2</v>
      </c>
      <c r="K195" s="332">
        <f>'C3Q'!W85</f>
        <v>83684689.859999999</v>
      </c>
      <c r="L195" s="353"/>
      <c r="M195" s="354"/>
      <c r="N195" s="354"/>
      <c r="O195" s="354"/>
      <c r="P195" s="354"/>
      <c r="Q195" s="354"/>
      <c r="R195" s="354"/>
      <c r="S195" s="354"/>
      <c r="T195" s="354"/>
      <c r="U195" s="354"/>
      <c r="V195" s="354"/>
      <c r="W195" s="354"/>
    </row>
    <row r="196" spans="1:23" ht="11.25" customHeight="1" x14ac:dyDescent="0.25">
      <c r="A196" s="30" t="str">
        <f>'Org structure'!E131</f>
        <v>11.13 - FX016001002002 - Water Distribution - Urban Water (Water Management) - DN</v>
      </c>
      <c r="B196" s="197"/>
      <c r="C196" s="332">
        <f>'C3Q'!O86</f>
        <v>248708858.81</v>
      </c>
      <c r="D196" s="704">
        <f>'C3Q'!P86</f>
        <v>282183100</v>
      </c>
      <c r="E196" s="365">
        <f>'C3Q'!Q86</f>
        <v>272085447.39999998</v>
      </c>
      <c r="F196" s="365">
        <f>'C3Q'!R86</f>
        <v>14347312.199999999</v>
      </c>
      <c r="G196" s="365">
        <f>'C3Q'!S86</f>
        <v>225536270.56999999</v>
      </c>
      <c r="H196" s="365">
        <f>'C3Q'!T86</f>
        <v>227300899.66</v>
      </c>
      <c r="I196" s="34">
        <f t="shared" si="29"/>
        <v>-1764629.0900000036</v>
      </c>
      <c r="J196" s="351">
        <f t="shared" si="33"/>
        <v>-7.7634056558489716E-3</v>
      </c>
      <c r="K196" s="332">
        <f>'C3Q'!W86</f>
        <v>272085447.39999998</v>
      </c>
      <c r="L196" s="353"/>
      <c r="M196" s="354"/>
      <c r="N196" s="354"/>
      <c r="O196" s="354"/>
      <c r="P196" s="354"/>
      <c r="Q196" s="354"/>
      <c r="R196" s="354"/>
      <c r="S196" s="354"/>
      <c r="T196" s="354"/>
      <c r="U196" s="354"/>
      <c r="V196" s="354"/>
      <c r="W196" s="354"/>
    </row>
    <row r="197" spans="1:23" ht="11.25" customHeight="1" x14ac:dyDescent="0.25">
      <c r="A197" s="66" t="str">
        <f>'Org structure'!A16</f>
        <v>Vote 12 - INFRASTRUCTURE SERVICES - ENGINEERING SERVICES</v>
      </c>
      <c r="B197" s="197"/>
      <c r="C197" s="707">
        <f t="shared" ref="C197:H197" si="37">SUM(C198:C199)</f>
        <v>4037882.2300000004</v>
      </c>
      <c r="D197" s="723">
        <f t="shared" si="37"/>
        <v>9914000</v>
      </c>
      <c r="E197" s="349">
        <f t="shared" si="37"/>
        <v>13131406.209999999</v>
      </c>
      <c r="F197" s="350">
        <f t="shared" si="37"/>
        <v>627799.89999999991</v>
      </c>
      <c r="G197" s="349">
        <f t="shared" si="37"/>
        <v>8231496.2999999998</v>
      </c>
      <c r="H197" s="350">
        <f t="shared" si="37"/>
        <v>9909273.7400000002</v>
      </c>
      <c r="I197" s="34">
        <f t="shared" ref="I197:I221" si="38">G197-H197</f>
        <v>-1677777.4400000004</v>
      </c>
      <c r="J197" s="351">
        <f t="shared" si="33"/>
        <v>-0.16931386537718154</v>
      </c>
      <c r="K197" s="707">
        <f>SUM(K198:K199)</f>
        <v>13131406.209999999</v>
      </c>
      <c r="L197" s="353"/>
      <c r="M197" s="354"/>
      <c r="N197" s="354"/>
      <c r="O197" s="354"/>
      <c r="P197" s="354"/>
      <c r="Q197" s="354"/>
      <c r="R197" s="354"/>
      <c r="S197" s="354"/>
      <c r="T197" s="354"/>
      <c r="U197" s="354"/>
      <c r="V197" s="354"/>
      <c r="W197" s="354"/>
    </row>
    <row r="198" spans="1:23" ht="11.25" customHeight="1" x14ac:dyDescent="0.25">
      <c r="A198" s="30" t="str">
        <f>'Org structure'!E133</f>
        <v>12.1 - FX010001007001 - Project Management Unit - Administration (Planning and Development) - CE</v>
      </c>
      <c r="B198" s="197"/>
      <c r="C198" s="332">
        <f>'C3Q'!O88</f>
        <v>7991359.4000000004</v>
      </c>
      <c r="D198" s="704">
        <f>'C3Q'!P88</f>
        <v>9848900</v>
      </c>
      <c r="E198" s="365">
        <f>'C3Q'!Q88</f>
        <v>13774708.359999999</v>
      </c>
      <c r="F198" s="365">
        <f>'C3Q'!R88</f>
        <v>763336.82</v>
      </c>
      <c r="G198" s="365">
        <f>'C3Q'!S88</f>
        <v>9163198.5999999996</v>
      </c>
      <c r="H198" s="365">
        <f>'C3Q'!T88</f>
        <v>10410823.220000001</v>
      </c>
      <c r="I198" s="34">
        <f t="shared" si="38"/>
        <v>-1247624.620000001</v>
      </c>
      <c r="J198" s="351">
        <f t="shared" si="33"/>
        <v>-0.11983918981576953</v>
      </c>
      <c r="K198" s="332">
        <f>'C3Q'!W88</f>
        <v>13774708.359999999</v>
      </c>
      <c r="L198" s="353"/>
      <c r="M198" s="354"/>
      <c r="N198" s="354"/>
      <c r="O198" s="354"/>
      <c r="P198" s="354"/>
      <c r="Q198" s="354"/>
      <c r="R198" s="354"/>
      <c r="S198" s="354"/>
      <c r="T198" s="354"/>
      <c r="U198" s="354"/>
      <c r="V198" s="354"/>
      <c r="W198" s="354"/>
    </row>
    <row r="199" spans="1:23" ht="11.25" customHeight="1" x14ac:dyDescent="0.25">
      <c r="A199" s="30" t="str">
        <f>'Org structure'!E134</f>
        <v>12.2 - FX010001007005 - Project Management Unit - PMU (Planning and Development) - CI</v>
      </c>
      <c r="B199" s="197"/>
      <c r="C199" s="332">
        <f>'C3Q'!O89</f>
        <v>-3953477.17</v>
      </c>
      <c r="D199" s="704">
        <f>'C3Q'!P89</f>
        <v>65100</v>
      </c>
      <c r="E199" s="365">
        <f>'C3Q'!Q89</f>
        <v>-643302.15</v>
      </c>
      <c r="F199" s="365">
        <f>'C3Q'!R89</f>
        <v>-135536.92000000001</v>
      </c>
      <c r="G199" s="365">
        <f>'C3Q'!S89</f>
        <v>-931702.3</v>
      </c>
      <c r="H199" s="365">
        <f>'C3Q'!T89</f>
        <v>-501549.48</v>
      </c>
      <c r="I199" s="34">
        <f t="shared" si="38"/>
        <v>-430152.82000000007</v>
      </c>
      <c r="J199" s="351">
        <f t="shared" si="33"/>
        <v>0.85764782370026593</v>
      </c>
      <c r="K199" s="332">
        <f>'C3Q'!W89</f>
        <v>-643302.15</v>
      </c>
      <c r="L199" s="353"/>
      <c r="M199" s="354"/>
      <c r="N199" s="354"/>
      <c r="O199" s="354"/>
      <c r="P199" s="354"/>
      <c r="Q199" s="354"/>
      <c r="R199" s="354"/>
      <c r="S199" s="354"/>
      <c r="T199" s="354"/>
      <c r="U199" s="354"/>
      <c r="V199" s="354"/>
      <c r="W199" s="354"/>
    </row>
    <row r="200" spans="1:23" ht="11.25" customHeight="1" x14ac:dyDescent="0.25">
      <c r="A200" s="66" t="str">
        <f>'Org structure'!A17</f>
        <v>Vote 13 - OFFICE OF THE MUNICIPAL MANAGER</v>
      </c>
      <c r="B200" s="197"/>
      <c r="C200" s="707">
        <f>SUM(C201:C213)</f>
        <v>43801447.909999996</v>
      </c>
      <c r="D200" s="350">
        <f t="shared" ref="D200:W200" si="39">SUM(D201:D213)</f>
        <v>65090500</v>
      </c>
      <c r="E200" s="348">
        <f t="shared" si="39"/>
        <v>74372400.429999992</v>
      </c>
      <c r="F200" s="348">
        <f t="shared" si="39"/>
        <v>2854703.31</v>
      </c>
      <c r="G200" s="348">
        <f t="shared" si="39"/>
        <v>37752815.609999999</v>
      </c>
      <c r="H200" s="348">
        <f t="shared" si="39"/>
        <v>49444851.280000009</v>
      </c>
      <c r="I200" s="34">
        <f t="shared" si="38"/>
        <v>-11692035.670000009</v>
      </c>
      <c r="J200" s="351">
        <f t="shared" si="33"/>
        <v>-0.23646619147036105</v>
      </c>
      <c r="K200" s="707">
        <f t="shared" si="39"/>
        <v>74372400.429999992</v>
      </c>
      <c r="L200" s="350">
        <f t="shared" si="39"/>
        <v>0</v>
      </c>
      <c r="M200" s="348">
        <f t="shared" si="39"/>
        <v>0</v>
      </c>
      <c r="N200" s="348">
        <f t="shared" si="39"/>
        <v>0</v>
      </c>
      <c r="O200" s="348">
        <f t="shared" si="39"/>
        <v>0</v>
      </c>
      <c r="P200" s="348">
        <f t="shared" si="39"/>
        <v>0</v>
      </c>
      <c r="Q200" s="348">
        <f t="shared" si="39"/>
        <v>0</v>
      </c>
      <c r="R200" s="348">
        <f t="shared" si="39"/>
        <v>0</v>
      </c>
      <c r="S200" s="348">
        <f t="shared" si="39"/>
        <v>0</v>
      </c>
      <c r="T200" s="348">
        <f t="shared" si="39"/>
        <v>0</v>
      </c>
      <c r="U200" s="348">
        <f t="shared" si="39"/>
        <v>0</v>
      </c>
      <c r="V200" s="348">
        <f t="shared" si="39"/>
        <v>0</v>
      </c>
      <c r="W200" s="348">
        <f t="shared" si="39"/>
        <v>0</v>
      </c>
    </row>
    <row r="201" spans="1:23" ht="11.25" customHeight="1" x14ac:dyDescent="0.25">
      <c r="A201" s="30" t="str">
        <f>'Org structure'!E144</f>
        <v>13.1 - FX004001001001 - Mayor and Council (Executive and Council) - AS</v>
      </c>
      <c r="B201" s="197"/>
      <c r="C201" s="332">
        <f>'C3Q'!O91</f>
        <v>-8448665.3800000008</v>
      </c>
      <c r="D201" s="704">
        <f>'C3Q'!P91</f>
        <v>1530100</v>
      </c>
      <c r="E201" s="365">
        <f>'C3Q'!Q91</f>
        <v>14229150.43</v>
      </c>
      <c r="F201" s="365">
        <f>'C3Q'!R91</f>
        <v>-2762426.8</v>
      </c>
      <c r="G201" s="365">
        <f>'C3Q'!S91</f>
        <v>-3670746.98</v>
      </c>
      <c r="H201" s="365">
        <f>'C3Q'!T91</f>
        <v>7373250</v>
      </c>
      <c r="I201" s="34">
        <f t="shared" si="38"/>
        <v>-11043996.98</v>
      </c>
      <c r="J201" s="351">
        <f t="shared" si="33"/>
        <v>-1.4978465371444072</v>
      </c>
      <c r="K201" s="332">
        <f>'C3Q'!W91</f>
        <v>14229150.43</v>
      </c>
      <c r="L201" s="353"/>
      <c r="M201" s="354"/>
      <c r="N201" s="354"/>
      <c r="O201" s="354"/>
      <c r="P201" s="354"/>
      <c r="Q201" s="354"/>
      <c r="R201" s="354"/>
      <c r="S201" s="354"/>
      <c r="T201" s="354"/>
      <c r="U201" s="354"/>
      <c r="V201" s="354"/>
      <c r="W201" s="354"/>
    </row>
    <row r="202" spans="1:23" ht="11.25" customHeight="1" x14ac:dyDescent="0.25">
      <c r="A202" s="30" t="str">
        <f>'Org structure'!E145</f>
        <v>13.2 - FX004001002001 - DMM - Corporate Services (Executive and Council) - AU</v>
      </c>
      <c r="B202" s="197"/>
      <c r="C202" s="332">
        <f>'C3Q'!O92</f>
        <v>3004452.54</v>
      </c>
      <c r="D202" s="704">
        <f>'C3Q'!P92</f>
        <v>4582400</v>
      </c>
      <c r="E202" s="365">
        <f>'C3Q'!Q92</f>
        <v>4230399.99</v>
      </c>
      <c r="F202" s="365">
        <f>'C3Q'!R92</f>
        <v>291641.65999999997</v>
      </c>
      <c r="G202" s="365">
        <f>'C3Q'!S92</f>
        <v>2733500.92</v>
      </c>
      <c r="H202" s="365">
        <f>'C3Q'!T92</f>
        <v>3161924.98</v>
      </c>
      <c r="I202" s="34">
        <f t="shared" si="38"/>
        <v>-428424.06000000006</v>
      </c>
      <c r="J202" s="351">
        <f t="shared" si="33"/>
        <v>-0.13549469475395334</v>
      </c>
      <c r="K202" s="332">
        <f>'C3Q'!W92</f>
        <v>4230399.99</v>
      </c>
      <c r="L202" s="353"/>
      <c r="M202" s="354"/>
      <c r="N202" s="354"/>
      <c r="O202" s="354"/>
      <c r="P202" s="354"/>
      <c r="Q202" s="354"/>
      <c r="R202" s="354"/>
      <c r="S202" s="354"/>
      <c r="T202" s="354"/>
      <c r="U202" s="354"/>
      <c r="V202" s="354"/>
      <c r="W202" s="354"/>
    </row>
    <row r="203" spans="1:23" ht="11.25" customHeight="1" x14ac:dyDescent="0.25">
      <c r="A203" s="30" t="str">
        <f>'Org structure'!E146</f>
        <v>13.3 - FX004001002002 - DMM - ITS (Executive and Council) - AV</v>
      </c>
      <c r="B203" s="197"/>
      <c r="C203" s="332">
        <f>'C3Q'!O93</f>
        <v>8049083.46</v>
      </c>
      <c r="D203" s="704">
        <f>'C3Q'!P93</f>
        <v>10394900</v>
      </c>
      <c r="E203" s="365">
        <f>'C3Q'!Q93</f>
        <v>9994400.0099999998</v>
      </c>
      <c r="F203" s="365">
        <f>'C3Q'!R93</f>
        <v>927063.08</v>
      </c>
      <c r="G203" s="365">
        <f>'C3Q'!S93</f>
        <v>7806593.4400000004</v>
      </c>
      <c r="H203" s="365">
        <f>'C3Q'!T93</f>
        <v>7969453.5700000003</v>
      </c>
      <c r="I203" s="34">
        <f t="shared" si="38"/>
        <v>-162860.12999999989</v>
      </c>
      <c r="J203" s="351">
        <f t="shared" si="33"/>
        <v>-2.0435545369517711E-2</v>
      </c>
      <c r="K203" s="332">
        <f>'C3Q'!W93</f>
        <v>9994400.0099999998</v>
      </c>
      <c r="L203" s="353"/>
      <c r="M203" s="354"/>
      <c r="N203" s="354"/>
      <c r="O203" s="354"/>
      <c r="P203" s="354"/>
      <c r="Q203" s="354"/>
      <c r="R203" s="354"/>
      <c r="S203" s="354"/>
      <c r="T203" s="354"/>
      <c r="U203" s="354"/>
      <c r="V203" s="354"/>
      <c r="W203" s="354"/>
    </row>
    <row r="204" spans="1:23" ht="11.25" customHeight="1" x14ac:dyDescent="0.25">
      <c r="A204" s="30" t="str">
        <f>'Org structure'!E147</f>
        <v>13.4 - FX004001002003 -  DMM - City Development (Executive and Council) - AW</v>
      </c>
      <c r="B204" s="197"/>
      <c r="C204" s="332">
        <f>'C3Q'!O94</f>
        <v>4255876.99</v>
      </c>
      <c r="D204" s="704">
        <f>'C3Q'!P94</f>
        <v>4662800</v>
      </c>
      <c r="E204" s="365">
        <f>'C3Q'!Q94</f>
        <v>4549300.01</v>
      </c>
      <c r="F204" s="365">
        <f>'C3Q'!R94</f>
        <v>325477.99</v>
      </c>
      <c r="G204" s="365">
        <f>'C3Q'!S94</f>
        <v>3395074.87</v>
      </c>
      <c r="H204" s="365">
        <f>'C3Q'!T94</f>
        <v>3466297.99</v>
      </c>
      <c r="I204" s="34">
        <f t="shared" si="38"/>
        <v>-71223.120000000112</v>
      </c>
      <c r="J204" s="351">
        <f t="shared" si="33"/>
        <v>-2.0547315956525741E-2</v>
      </c>
      <c r="K204" s="332">
        <f>'C3Q'!W94</f>
        <v>4549300.01</v>
      </c>
      <c r="L204" s="353"/>
      <c r="M204" s="354"/>
      <c r="N204" s="354"/>
      <c r="O204" s="354"/>
      <c r="P204" s="354"/>
      <c r="Q204" s="354"/>
      <c r="R204" s="354"/>
      <c r="S204" s="354"/>
      <c r="T204" s="354"/>
      <c r="U204" s="354"/>
      <c r="V204" s="354"/>
      <c r="W204" s="354"/>
    </row>
    <row r="205" spans="1:23" ht="11.25" customHeight="1" x14ac:dyDescent="0.25">
      <c r="A205" s="30" t="str">
        <f>'Org structure'!E148</f>
        <v>13.5 - FX004001002004 - DMM - Community Services (Executive and Council) - AX</v>
      </c>
      <c r="B205" s="197"/>
      <c r="C205" s="332">
        <f>'C3Q'!O95</f>
        <v>6612704.25</v>
      </c>
      <c r="D205" s="704">
        <f>'C3Q'!P95</f>
        <v>8502000</v>
      </c>
      <c r="E205" s="365">
        <f>'C3Q'!Q95</f>
        <v>6754399.9900000002</v>
      </c>
      <c r="F205" s="365">
        <f>'C3Q'!R95</f>
        <v>443059.92</v>
      </c>
      <c r="G205" s="365">
        <f>'C3Q'!S95</f>
        <v>4879104.07</v>
      </c>
      <c r="H205" s="365">
        <f>'C3Q'!T95</f>
        <v>5155793.0999999996</v>
      </c>
      <c r="I205" s="34">
        <f t="shared" si="38"/>
        <v>-276689.02999999933</v>
      </c>
      <c r="J205" s="351">
        <f t="shared" si="33"/>
        <v>-5.366565815063435E-2</v>
      </c>
      <c r="K205" s="332">
        <f>'C3Q'!W95</f>
        <v>6754399.9900000002</v>
      </c>
      <c r="L205" s="353"/>
      <c r="M205" s="354"/>
      <c r="N205" s="354"/>
      <c r="O205" s="354"/>
      <c r="P205" s="354"/>
      <c r="Q205" s="354"/>
      <c r="R205" s="354"/>
      <c r="S205" s="354"/>
      <c r="T205" s="354"/>
      <c r="U205" s="354"/>
      <c r="V205" s="354"/>
      <c r="W205" s="354"/>
    </row>
    <row r="206" spans="1:23" ht="11.25" customHeight="1" x14ac:dyDescent="0.25">
      <c r="A206" s="30" t="str">
        <f>'Org structure'!E149</f>
        <v>13.6 - FX004001002005 -  Municipal Manager (Executive and Council) - AY</v>
      </c>
      <c r="B206" s="197"/>
      <c r="C206" s="332">
        <f>'C3Q'!O96</f>
        <v>-203128.26</v>
      </c>
      <c r="D206" s="704">
        <f>'C3Q'!P96</f>
        <v>27200</v>
      </c>
      <c r="E206" s="365">
        <f>'C3Q'!Q96</f>
        <v>2456574.96</v>
      </c>
      <c r="F206" s="365">
        <f>'C3Q'!R96</f>
        <v>-39277.47</v>
      </c>
      <c r="G206" s="365">
        <f>'C3Q'!S96</f>
        <v>1292008.8600000001</v>
      </c>
      <c r="H206" s="365">
        <f>'C3Q'!T96</f>
        <v>1685294.28</v>
      </c>
      <c r="I206" s="34">
        <f t="shared" si="38"/>
        <v>-393285.41999999993</v>
      </c>
      <c r="J206" s="351">
        <f t="shared" si="33"/>
        <v>-0.23336305395874241</v>
      </c>
      <c r="K206" s="332">
        <f>'C3Q'!W96</f>
        <v>2456574.96</v>
      </c>
      <c r="L206" s="353"/>
      <c r="M206" s="354"/>
      <c r="N206" s="354"/>
      <c r="O206" s="354"/>
      <c r="P206" s="354"/>
      <c r="Q206" s="354"/>
      <c r="R206" s="354"/>
      <c r="S206" s="354"/>
      <c r="T206" s="354"/>
      <c r="U206" s="354"/>
      <c r="V206" s="354"/>
      <c r="W206" s="354"/>
    </row>
    <row r="207" spans="1:23" ht="11.25" customHeight="1" x14ac:dyDescent="0.25">
      <c r="A207" s="30" t="str">
        <f>'Org structure'!E150</f>
        <v>13.7 - FX004001002007 - Performance Management (Executive and Council) - BA</v>
      </c>
      <c r="B207" s="197"/>
      <c r="C207" s="332">
        <f>'C3Q'!O97</f>
        <v>4445747.21</v>
      </c>
      <c r="D207" s="704">
        <f>'C3Q'!P97</f>
        <v>4232600</v>
      </c>
      <c r="E207" s="365">
        <f>'C3Q'!Q97</f>
        <v>4990700.01</v>
      </c>
      <c r="F207" s="365">
        <f>'C3Q'!R97</f>
        <v>525165.26</v>
      </c>
      <c r="G207" s="365">
        <f>'C3Q'!S97</f>
        <v>4088813.27</v>
      </c>
      <c r="H207" s="365">
        <f>'C3Q'!T97</f>
        <v>4400535.53</v>
      </c>
      <c r="I207" s="34">
        <f t="shared" si="38"/>
        <v>-311722.26000000024</v>
      </c>
      <c r="J207" s="351">
        <f t="shared" si="33"/>
        <v>-7.0837346471782775E-2</v>
      </c>
      <c r="K207" s="332">
        <f>'C3Q'!W97</f>
        <v>4990700.01</v>
      </c>
      <c r="L207" s="353"/>
      <c r="M207" s="354"/>
      <c r="N207" s="354"/>
      <c r="O207" s="354"/>
      <c r="P207" s="354"/>
      <c r="Q207" s="354"/>
      <c r="R207" s="354"/>
      <c r="S207" s="354"/>
      <c r="T207" s="354"/>
      <c r="U207" s="354"/>
      <c r="V207" s="354"/>
      <c r="W207" s="354"/>
    </row>
    <row r="208" spans="1:23" ht="11.25" customHeight="1" x14ac:dyDescent="0.25">
      <c r="A208" s="30" t="str">
        <f>'Org structure'!E151</f>
        <v>13.8 - FX005001009 - Marketing, Customer Relations, Publicity and Media Co-ordination (Finance and Administration) - BM</v>
      </c>
      <c r="B208" s="197"/>
      <c r="C208" s="332">
        <f>'C3Q'!O98</f>
        <v>9178712.4800000004</v>
      </c>
      <c r="D208" s="704">
        <f>'C3Q'!P98</f>
        <v>9689700</v>
      </c>
      <c r="E208" s="365">
        <f>'C3Q'!Q98</f>
        <v>9098772.8399999999</v>
      </c>
      <c r="F208" s="365">
        <f>'C3Q'!R98</f>
        <v>441014.92</v>
      </c>
      <c r="G208" s="365">
        <f>'C3Q'!S98</f>
        <v>5831580.8899999997</v>
      </c>
      <c r="H208" s="365">
        <f>'C3Q'!T98</f>
        <v>6972807.0599999996</v>
      </c>
      <c r="I208" s="34">
        <f t="shared" si="38"/>
        <v>-1141226.17</v>
      </c>
      <c r="J208" s="351">
        <f t="shared" si="33"/>
        <v>-0.16366811245168741</v>
      </c>
      <c r="K208" s="332">
        <f>'C3Q'!W98</f>
        <v>9098772.8399999999</v>
      </c>
      <c r="L208" s="353"/>
      <c r="M208" s="354"/>
      <c r="N208" s="354"/>
      <c r="O208" s="354"/>
      <c r="P208" s="354"/>
      <c r="Q208" s="354"/>
      <c r="R208" s="354"/>
      <c r="S208" s="354"/>
      <c r="T208" s="354"/>
      <c r="U208" s="354"/>
      <c r="V208" s="354"/>
      <c r="W208" s="354"/>
    </row>
    <row r="209" spans="1:23" ht="11.25" customHeight="1" x14ac:dyDescent="0.25">
      <c r="A209" s="30" t="str">
        <f>'Org structure'!E152</f>
        <v>13.9 - FX004001002008 - DMM - Chief Operations Officer (Executive and Council) - BC</v>
      </c>
      <c r="B209" s="197"/>
      <c r="C209" s="332">
        <f>'C3Q'!O99</f>
        <v>7208462.8499999996</v>
      </c>
      <c r="D209" s="704">
        <f>'C3Q'!P99</f>
        <v>8310000</v>
      </c>
      <c r="E209" s="365">
        <f>'C3Q'!Q99</f>
        <v>7907100</v>
      </c>
      <c r="F209" s="365">
        <f>'C3Q'!R99</f>
        <v>598439.34</v>
      </c>
      <c r="G209" s="365">
        <f>'C3Q'!S99</f>
        <v>6059871.4400000004</v>
      </c>
      <c r="H209" s="365">
        <f>'C3Q'!T99</f>
        <v>6151783.4199999999</v>
      </c>
      <c r="I209" s="34">
        <f t="shared" si="38"/>
        <v>-91911.979999999516</v>
      </c>
      <c r="J209" s="351">
        <f t="shared" si="33"/>
        <v>-1.494070478833592E-2</v>
      </c>
      <c r="K209" s="332">
        <f>'C3Q'!W99</f>
        <v>7907100</v>
      </c>
      <c r="L209" s="353"/>
      <c r="M209" s="354"/>
      <c r="N209" s="354"/>
      <c r="O209" s="354"/>
      <c r="P209" s="354"/>
      <c r="Q209" s="354"/>
      <c r="R209" s="354"/>
      <c r="S209" s="354"/>
      <c r="T209" s="354"/>
      <c r="U209" s="354"/>
      <c r="V209" s="354"/>
      <c r="W209" s="354"/>
    </row>
    <row r="210" spans="1:23" ht="11.25" customHeight="1" x14ac:dyDescent="0.25">
      <c r="A210" s="30" t="str">
        <f>'Org structure'!E153</f>
        <v>13.10 - FX005001011 - Risk Management (Finance and Administration) - BO</v>
      </c>
      <c r="B210" s="197"/>
      <c r="C210" s="332">
        <f>'C3Q'!O100</f>
        <v>4608453.26</v>
      </c>
      <c r="D210" s="704">
        <f>'C3Q'!P100</f>
        <v>6210400</v>
      </c>
      <c r="E210" s="365">
        <f>'C3Q'!Q100</f>
        <v>5994702.1900000004</v>
      </c>
      <c r="F210" s="365">
        <f>'C3Q'!R100</f>
        <v>293672.25</v>
      </c>
      <c r="G210" s="365">
        <f>'C3Q'!S100</f>
        <v>2989788.08</v>
      </c>
      <c r="H210" s="365">
        <f>'C3Q'!T100</f>
        <v>3712548.89</v>
      </c>
      <c r="I210" s="34">
        <f t="shared" si="38"/>
        <v>-722760.81</v>
      </c>
      <c r="J210" s="351">
        <f t="shared" si="33"/>
        <v>-0.19468048271278121</v>
      </c>
      <c r="K210" s="332">
        <f>'C3Q'!W100</f>
        <v>5994702.1900000004</v>
      </c>
      <c r="L210" s="353"/>
      <c r="M210" s="354"/>
      <c r="N210" s="354"/>
      <c r="O210" s="354"/>
      <c r="P210" s="354"/>
      <c r="Q210" s="354"/>
      <c r="R210" s="354"/>
      <c r="S210" s="354"/>
      <c r="T210" s="354"/>
      <c r="U210" s="354"/>
      <c r="V210" s="354"/>
      <c r="W210" s="354"/>
    </row>
    <row r="211" spans="1:23" ht="11.25" customHeight="1" x14ac:dyDescent="0.25">
      <c r="A211" s="30" t="str">
        <f>'Org structure'!E154</f>
        <v>13.11 - FX008001001 - Governance Function (Internal Audit) - BU</v>
      </c>
      <c r="B211" s="197"/>
      <c r="C211" s="332">
        <f>'C3Q'!O101</f>
        <v>351616.26</v>
      </c>
      <c r="D211" s="704">
        <f>'C3Q'!P101</f>
        <v>175900</v>
      </c>
      <c r="E211" s="365">
        <f>'C3Q'!Q101</f>
        <v>191500</v>
      </c>
      <c r="F211" s="365">
        <f>'C3Q'!R101</f>
        <v>1460301.76</v>
      </c>
      <c r="G211" s="365">
        <f>'C3Q'!S101</f>
        <v>-970255.13</v>
      </c>
      <c r="H211" s="365">
        <f>'C3Q'!T101</f>
        <v>-3964938.69</v>
      </c>
      <c r="I211" s="34">
        <f t="shared" si="38"/>
        <v>2994683.56</v>
      </c>
      <c r="J211" s="351">
        <f t="shared" si="33"/>
        <v>-0.75529126529822843</v>
      </c>
      <c r="K211" s="332">
        <f>'C3Q'!W101</f>
        <v>191500</v>
      </c>
      <c r="L211" s="353"/>
      <c r="M211" s="354"/>
      <c r="N211" s="354"/>
      <c r="O211" s="354"/>
      <c r="P211" s="354"/>
      <c r="Q211" s="354"/>
      <c r="R211" s="354"/>
      <c r="S211" s="354"/>
      <c r="T211" s="354"/>
      <c r="U211" s="354"/>
      <c r="V211" s="354"/>
      <c r="W211" s="354"/>
    </row>
    <row r="212" spans="1:23" ht="11.25" customHeight="1" x14ac:dyDescent="0.25">
      <c r="A212" s="30" t="str">
        <f>'Org structure'!E155</f>
        <v>13.12 - FX004001002009 - Research, Knowledge Management and Innovation (Executive and Council) - DV</v>
      </c>
      <c r="B212" s="197"/>
      <c r="C212" s="332">
        <f>'C3Q'!O102</f>
        <v>2075885.14</v>
      </c>
      <c r="D212" s="704">
        <f>'C3Q'!P102</f>
        <v>3349800</v>
      </c>
      <c r="E212" s="365">
        <f>'C3Q'!Q102</f>
        <v>977500</v>
      </c>
      <c r="F212" s="365">
        <f>'C3Q'!R102</f>
        <v>104408.58</v>
      </c>
      <c r="G212" s="365">
        <f>'C3Q'!S102</f>
        <v>787363.36</v>
      </c>
      <c r="H212" s="365">
        <f>'C3Q'!T102</f>
        <v>818166.96</v>
      </c>
      <c r="I212" s="34">
        <f t="shared" si="38"/>
        <v>-30803.599999999977</v>
      </c>
      <c r="J212" s="351">
        <f t="shared" si="33"/>
        <v>-3.7649528159875802E-2</v>
      </c>
      <c r="K212" s="332">
        <f>'C3Q'!W102</f>
        <v>977500</v>
      </c>
      <c r="L212" s="353"/>
      <c r="M212" s="354"/>
      <c r="N212" s="354"/>
      <c r="O212" s="354"/>
      <c r="P212" s="354"/>
      <c r="Q212" s="354"/>
      <c r="R212" s="354"/>
      <c r="S212" s="354"/>
      <c r="T212" s="354"/>
      <c r="U212" s="354"/>
      <c r="V212" s="354"/>
      <c r="W212" s="354"/>
    </row>
    <row r="213" spans="1:23" ht="11.25" customHeight="1" x14ac:dyDescent="0.25">
      <c r="A213" s="30" t="str">
        <f>'Org structure'!E156</f>
        <v>13.13 - FX004001002010 - Mayoral Support Services (Executive and Council) - DW</v>
      </c>
      <c r="B213" s="197"/>
      <c r="C213" s="332">
        <f>'C3Q'!O103</f>
        <v>2662247.11</v>
      </c>
      <c r="D213" s="704">
        <f>'C3Q'!P103</f>
        <v>3422700</v>
      </c>
      <c r="E213" s="365">
        <f>'C3Q'!Q103</f>
        <v>2997900</v>
      </c>
      <c r="F213" s="365">
        <f>'C3Q'!R103</f>
        <v>246162.82</v>
      </c>
      <c r="G213" s="365">
        <f>'C3Q'!S103</f>
        <v>2530118.52</v>
      </c>
      <c r="H213" s="365">
        <f>'C3Q'!T103</f>
        <v>2541934.19</v>
      </c>
      <c r="I213" s="34">
        <f t="shared" si="38"/>
        <v>-11815.669999999925</v>
      </c>
      <c r="J213" s="351">
        <f t="shared" si="33"/>
        <v>-4.6482989396353829E-3</v>
      </c>
      <c r="K213" s="332">
        <f>'C3Q'!W103</f>
        <v>2997900</v>
      </c>
      <c r="L213" s="353"/>
      <c r="M213" s="354"/>
      <c r="N213" s="354"/>
      <c r="O213" s="354"/>
      <c r="P213" s="354"/>
      <c r="Q213" s="354"/>
      <c r="R213" s="354"/>
      <c r="S213" s="354"/>
      <c r="T213" s="354"/>
      <c r="U213" s="354"/>
      <c r="V213" s="354"/>
      <c r="W213" s="354"/>
    </row>
    <row r="214" spans="1:23" ht="11.25" customHeight="1" x14ac:dyDescent="0.25">
      <c r="A214" s="66" t="str">
        <f>'Org structure'!A18</f>
        <v>Vote 14 - CORPORATE SERVICES - LEGAL SERVICES</v>
      </c>
      <c r="B214" s="197"/>
      <c r="C214" s="707">
        <f t="shared" ref="C214:H214" si="40">SUM(C215:C215)</f>
        <v>12856189.609999999</v>
      </c>
      <c r="D214" s="723">
        <f t="shared" si="40"/>
        <v>0</v>
      </c>
      <c r="E214" s="349">
        <f t="shared" si="40"/>
        <v>-1581899.99</v>
      </c>
      <c r="F214" s="350">
        <f t="shared" si="40"/>
        <v>-415645.22</v>
      </c>
      <c r="G214" s="349">
        <f t="shared" si="40"/>
        <v>-2384217.7400000002</v>
      </c>
      <c r="H214" s="350">
        <f t="shared" si="40"/>
        <v>-1894975.19</v>
      </c>
      <c r="I214" s="34">
        <f t="shared" si="38"/>
        <v>-489242.55000000028</v>
      </c>
      <c r="J214" s="351">
        <f t="shared" si="33"/>
        <v>0.25817886829431275</v>
      </c>
      <c r="K214" s="707">
        <f>SUM(K215:K215)</f>
        <v>-1581899.99</v>
      </c>
      <c r="L214" s="353"/>
      <c r="M214" s="354"/>
      <c r="N214" s="354"/>
      <c r="O214" s="354"/>
      <c r="P214" s="354"/>
      <c r="Q214" s="354"/>
      <c r="R214" s="354"/>
      <c r="S214" s="354"/>
      <c r="T214" s="354"/>
      <c r="U214" s="354"/>
      <c r="V214" s="354"/>
      <c r="W214" s="354"/>
    </row>
    <row r="215" spans="1:23" ht="11.25" customHeight="1" x14ac:dyDescent="0.25">
      <c r="A215" s="30" t="str">
        <f>'Org structure'!E158</f>
        <v>14.1 - FX005001008 - Legal Services (Finance and Administration) - BL</v>
      </c>
      <c r="B215" s="197"/>
      <c r="C215" s="332">
        <f>'C3Q'!O105</f>
        <v>12856189.609999999</v>
      </c>
      <c r="D215" s="704">
        <f>'C3Q'!P105</f>
        <v>0</v>
      </c>
      <c r="E215" s="365">
        <f>'C3Q'!Q105</f>
        <v>-1581899.99</v>
      </c>
      <c r="F215" s="365">
        <f>'C3Q'!R105</f>
        <v>-415645.22</v>
      </c>
      <c r="G215" s="365">
        <f>'C3Q'!S105</f>
        <v>-2384217.7400000002</v>
      </c>
      <c r="H215" s="365">
        <f>'C3Q'!T105</f>
        <v>-1894975.19</v>
      </c>
      <c r="I215" s="34">
        <f t="shared" si="38"/>
        <v>-489242.55000000028</v>
      </c>
      <c r="J215" s="351">
        <f t="shared" si="33"/>
        <v>0.25817886829431275</v>
      </c>
      <c r="K215" s="332">
        <f>'C3Q'!W105</f>
        <v>-1581899.99</v>
      </c>
      <c r="L215" s="353"/>
      <c r="M215" s="354"/>
      <c r="N215" s="354"/>
      <c r="O215" s="354"/>
      <c r="P215" s="354"/>
      <c r="Q215" s="354"/>
      <c r="R215" s="354"/>
      <c r="S215" s="354"/>
      <c r="T215" s="354"/>
      <c r="U215" s="354"/>
      <c r="V215" s="354"/>
      <c r="W215" s="354"/>
    </row>
    <row r="216" spans="1:23" ht="11.25" customHeight="1" x14ac:dyDescent="0.25">
      <c r="A216" s="66" t="str">
        <f>'Org structure'!A19</f>
        <v>Vote 15 - INFRASTRUCTURE SERVICES - INFRASTRUCTURE SUPPORT SERVICES</v>
      </c>
      <c r="B216" s="197"/>
      <c r="C216" s="707">
        <f t="shared" ref="C216:H216" si="41">SUM(C217:C218)</f>
        <v>15930861.960000001</v>
      </c>
      <c r="D216" s="723">
        <f t="shared" si="41"/>
        <v>15989800</v>
      </c>
      <c r="E216" s="349">
        <f t="shared" si="41"/>
        <v>17818748.640000001</v>
      </c>
      <c r="F216" s="350">
        <f t="shared" si="41"/>
        <v>903023.62000000011</v>
      </c>
      <c r="G216" s="349">
        <f t="shared" si="41"/>
        <v>12972311.779999999</v>
      </c>
      <c r="H216" s="350">
        <f t="shared" si="41"/>
        <v>12787582.549999999</v>
      </c>
      <c r="I216" s="34">
        <f t="shared" si="38"/>
        <v>184729.23000000045</v>
      </c>
      <c r="J216" s="351">
        <f t="shared" si="33"/>
        <v>1.4445985335985219E-2</v>
      </c>
      <c r="K216" s="707">
        <f>SUM(K217:K218)</f>
        <v>17818748.640000001</v>
      </c>
      <c r="L216" s="353"/>
      <c r="M216" s="354"/>
      <c r="N216" s="354"/>
      <c r="O216" s="354"/>
      <c r="P216" s="354"/>
      <c r="Q216" s="354"/>
      <c r="R216" s="354"/>
      <c r="S216" s="354"/>
      <c r="T216" s="354"/>
      <c r="U216" s="354"/>
      <c r="V216" s="354"/>
      <c r="W216" s="354"/>
    </row>
    <row r="217" spans="1:23" ht="11.25" customHeight="1" x14ac:dyDescent="0.25">
      <c r="A217" s="30" t="str">
        <f>'Org structure'!E169</f>
        <v>15.1 - FX016001001003 - Water Treatment - Scientific Services (Water Management) - DL</v>
      </c>
      <c r="B217" s="197"/>
      <c r="C217" s="332">
        <f>'C3Q'!O107</f>
        <v>-2159984.4500000002</v>
      </c>
      <c r="D217" s="704">
        <f>'C3Q'!P107</f>
        <v>-4873000</v>
      </c>
      <c r="E217" s="365">
        <f>'C3Q'!Q107</f>
        <v>-6522173.7699999996</v>
      </c>
      <c r="F217" s="365">
        <f>'C3Q'!R107</f>
        <v>-1076245.23</v>
      </c>
      <c r="G217" s="365">
        <f>'C3Q'!S107</f>
        <v>-6727519.0099999998</v>
      </c>
      <c r="H217" s="365">
        <f>'C3Q'!T107</f>
        <v>-7046385.4000000004</v>
      </c>
      <c r="I217" s="34">
        <f t="shared" si="38"/>
        <v>318866.3900000006</v>
      </c>
      <c r="J217" s="351">
        <f t="shared" si="33"/>
        <v>-4.5252476539248132E-2</v>
      </c>
      <c r="K217" s="332">
        <f>'C3Q'!W107</f>
        <v>-6522173.7699999996</v>
      </c>
      <c r="L217" s="353"/>
      <c r="M217" s="354"/>
      <c r="N217" s="354"/>
      <c r="O217" s="354"/>
      <c r="P217" s="354"/>
      <c r="Q217" s="354"/>
      <c r="R217" s="354"/>
      <c r="S217" s="354"/>
      <c r="T217" s="354"/>
      <c r="U217" s="354"/>
      <c r="V217" s="354"/>
      <c r="W217" s="354"/>
    </row>
    <row r="218" spans="1:23" ht="11.25" customHeight="1" x14ac:dyDescent="0.25">
      <c r="A218" s="30" t="str">
        <f>'Org structure'!E170</f>
        <v>15.2 - FX016001002003 - Water Distribution - Water Demand Management (Water Management) - DO</v>
      </c>
      <c r="B218" s="197"/>
      <c r="C218" s="332">
        <f>'C3Q'!O108</f>
        <v>18090846.41</v>
      </c>
      <c r="D218" s="704">
        <f>'C3Q'!P108</f>
        <v>20862800</v>
      </c>
      <c r="E218" s="365">
        <f>'C3Q'!Q108</f>
        <v>24340922.41</v>
      </c>
      <c r="F218" s="365">
        <f>'C3Q'!R108</f>
        <v>1979268.85</v>
      </c>
      <c r="G218" s="365">
        <f>'C3Q'!S108</f>
        <v>19699830.789999999</v>
      </c>
      <c r="H218" s="365">
        <f>'C3Q'!T108</f>
        <v>19833967.949999999</v>
      </c>
      <c r="I218" s="34">
        <f t="shared" si="38"/>
        <v>-134137.16000000015</v>
      </c>
      <c r="J218" s="674">
        <f t="shared" si="33"/>
        <v>-6.7630017522540241E-3</v>
      </c>
      <c r="K218" s="332">
        <f>'C3Q'!W108</f>
        <v>24340922.41</v>
      </c>
      <c r="L218" s="353"/>
      <c r="M218" s="354"/>
      <c r="N218" s="354"/>
      <c r="O218" s="354"/>
      <c r="P218" s="354"/>
      <c r="Q218" s="354"/>
      <c r="R218" s="354"/>
      <c r="S218" s="354"/>
      <c r="T218" s="354"/>
      <c r="U218" s="354"/>
      <c r="V218" s="354"/>
      <c r="W218" s="354"/>
    </row>
    <row r="219" spans="1:23" ht="12.75" customHeight="1" x14ac:dyDescent="0.25">
      <c r="A219" s="31" t="s">
        <v>583</v>
      </c>
      <c r="B219" s="197">
        <v>2</v>
      </c>
      <c r="C219" s="211">
        <f t="shared" ref="C219:H219" si="42">C114+C128+C136+C141+C155+C159+C161+C166+C172++C180+C183+C197+C200+C214+C216</f>
        <v>5256459078.2799988</v>
      </c>
      <c r="D219" s="218">
        <f t="shared" si="42"/>
        <v>5589918300</v>
      </c>
      <c r="E219" s="200">
        <f t="shared" si="42"/>
        <v>5623917106.250001</v>
      </c>
      <c r="F219" s="368">
        <f t="shared" si="42"/>
        <v>380803362.14999992</v>
      </c>
      <c r="G219" s="200">
        <f t="shared" si="42"/>
        <v>4535002739.829999</v>
      </c>
      <c r="H219" s="368">
        <f t="shared" si="42"/>
        <v>4582997169.0500002</v>
      </c>
      <c r="I219" s="328">
        <f t="shared" si="38"/>
        <v>-47994429.220001221</v>
      </c>
      <c r="J219" s="351">
        <f t="shared" si="33"/>
        <v>-1.0472279918503613E-2</v>
      </c>
      <c r="K219" s="211">
        <f>K114+K128+K136+K141+K155+K159+K161+K166+K172++K180+K183+K197+K200+K214+K216</f>
        <v>5623917106.250001</v>
      </c>
      <c r="L219" s="369"/>
      <c r="M219" s="370"/>
      <c r="N219" s="370"/>
      <c r="O219" s="370"/>
      <c r="P219" s="370"/>
      <c r="Q219" s="370"/>
      <c r="R219" s="370"/>
      <c r="S219" s="370"/>
      <c r="T219" s="370"/>
      <c r="U219" s="370"/>
      <c r="V219" s="370"/>
      <c r="W219" s="370"/>
    </row>
    <row r="220" spans="1:23" ht="4.5" customHeight="1" thickBot="1" x14ac:dyDescent="0.3">
      <c r="A220" s="32"/>
      <c r="B220" s="197"/>
      <c r="C220" s="96"/>
      <c r="D220" s="149"/>
      <c r="E220" s="38"/>
      <c r="F220" s="37"/>
      <c r="G220" s="38"/>
      <c r="H220" s="37"/>
      <c r="I220" s="65">
        <f t="shared" si="38"/>
        <v>0</v>
      </c>
      <c r="J220" s="674" t="str">
        <f t="shared" si="33"/>
        <v/>
      </c>
      <c r="K220" s="222"/>
      <c r="L220" s="371" t="e">
        <f>#REF!-#REF!</f>
        <v>#REF!</v>
      </c>
      <c r="M220" s="372" t="e">
        <f>#REF!-#REF!</f>
        <v>#REF!</v>
      </c>
      <c r="N220" s="372" t="e">
        <f>#REF!-#REF!</f>
        <v>#REF!</v>
      </c>
      <c r="O220" s="372" t="e">
        <f>#REF!-#REF!</f>
        <v>#REF!</v>
      </c>
      <c r="P220" s="372" t="e">
        <f>#REF!-#REF!</f>
        <v>#REF!</v>
      </c>
      <c r="Q220" s="372" t="e">
        <f>#REF!-#REF!</f>
        <v>#REF!</v>
      </c>
      <c r="R220" s="372" t="e">
        <f>#REF!-#REF!</f>
        <v>#REF!</v>
      </c>
      <c r="S220" s="372" t="e">
        <f>#REF!-#REF!</f>
        <v>#REF!</v>
      </c>
      <c r="T220" s="372" t="e">
        <f>#REF!-#REF!</f>
        <v>#REF!</v>
      </c>
      <c r="U220" s="372" t="e">
        <f>#REF!-#REF!</f>
        <v>#REF!</v>
      </c>
      <c r="V220" s="372" t="e">
        <f>#REF!-#REF!</f>
        <v>#REF!</v>
      </c>
      <c r="W220" s="372" t="e">
        <f>#REF!-#REF!</f>
        <v>#REF!</v>
      </c>
    </row>
    <row r="221" spans="1:23" ht="11.25" customHeight="1" thickTop="1" x14ac:dyDescent="0.25">
      <c r="A221" s="40" t="str">
        <f>result</f>
        <v>Surplus/ (Deficit) for the year</v>
      </c>
      <c r="B221" s="333">
        <v>2</v>
      </c>
      <c r="C221" s="129">
        <f t="shared" ref="C221:H221" si="43">C111-C219</f>
        <v>9550146.2500019073</v>
      </c>
      <c r="D221" s="155">
        <f t="shared" si="43"/>
        <v>228536500</v>
      </c>
      <c r="E221" s="41">
        <f t="shared" si="43"/>
        <v>-58869259.250000954</v>
      </c>
      <c r="F221" s="374">
        <f t="shared" si="43"/>
        <v>5309854.0800001621</v>
      </c>
      <c r="G221" s="41">
        <f t="shared" si="43"/>
        <v>82492701.570000648</v>
      </c>
      <c r="H221" s="374">
        <f t="shared" si="43"/>
        <v>40796831.729999542</v>
      </c>
      <c r="I221" s="362">
        <f t="shared" si="38"/>
        <v>41695869.840001106</v>
      </c>
      <c r="J221" s="720">
        <f t="shared" si="33"/>
        <v>1.0220369590450442</v>
      </c>
      <c r="K221" s="129">
        <f>K111-K219</f>
        <v>-58869259.250000954</v>
      </c>
    </row>
    <row r="222" spans="1:23" ht="11.25" customHeight="1" x14ac:dyDescent="0.25">
      <c r="A222" s="64" t="str">
        <f>head27a</f>
        <v>References</v>
      </c>
      <c r="C222" s="73"/>
      <c r="D222" s="316"/>
      <c r="E222" s="316"/>
      <c r="F222" s="316"/>
      <c r="G222" s="316"/>
      <c r="H222" s="316"/>
      <c r="I222" s="316"/>
      <c r="J222" s="316"/>
      <c r="K222" s="316"/>
    </row>
    <row r="223" spans="1:23" ht="11.25" customHeight="1" x14ac:dyDescent="0.25">
      <c r="A223" s="315" t="s">
        <v>104</v>
      </c>
      <c r="C223" s="43"/>
      <c r="D223" s="43"/>
      <c r="E223" s="316"/>
      <c r="F223" s="316"/>
      <c r="G223" s="316"/>
      <c r="H223" s="316"/>
      <c r="I223" s="316"/>
      <c r="J223" s="316"/>
      <c r="K223" s="316"/>
    </row>
    <row r="224" spans="1:23" ht="11.25" customHeight="1" x14ac:dyDescent="0.25">
      <c r="A224" s="27" t="s">
        <v>105</v>
      </c>
      <c r="C224" s="43"/>
      <c r="D224" s="43"/>
      <c r="E224" s="316"/>
      <c r="F224" s="316"/>
      <c r="G224" s="316"/>
      <c r="H224" s="316"/>
      <c r="I224" s="316"/>
      <c r="J224" s="316"/>
      <c r="K224" s="316"/>
    </row>
    <row r="225" spans="1:11" ht="11.25" customHeight="1" x14ac:dyDescent="0.25">
      <c r="A225" s="27" t="s">
        <v>106</v>
      </c>
      <c r="B225" s="44"/>
      <c r="C225" s="45"/>
      <c r="D225" s="45"/>
      <c r="E225" s="375"/>
      <c r="F225" s="375"/>
      <c r="G225" s="375"/>
      <c r="H225" s="375"/>
      <c r="I225" s="375"/>
      <c r="J225" s="375"/>
      <c r="K225" s="375"/>
    </row>
    <row r="226" spans="1:11" ht="11.25" customHeight="1" x14ac:dyDescent="0.25"/>
    <row r="227" spans="1:11" ht="11.25" customHeight="1" x14ac:dyDescent="0.25">
      <c r="A227" s="45" t="s">
        <v>107</v>
      </c>
      <c r="C227" s="242"/>
      <c r="D227" s="242"/>
      <c r="E227" s="242"/>
      <c r="F227" s="242"/>
      <c r="G227" s="242"/>
      <c r="H227" s="242"/>
      <c r="I227" s="242"/>
      <c r="J227" s="242"/>
      <c r="K227" s="242"/>
    </row>
    <row r="228" spans="1:11" ht="11.25" customHeight="1" x14ac:dyDescent="0.25">
      <c r="A228" s="45" t="s">
        <v>108</v>
      </c>
      <c r="C228" s="242"/>
      <c r="D228" s="242"/>
      <c r="E228" s="242"/>
      <c r="F228" s="242"/>
      <c r="G228" s="242"/>
      <c r="H228" s="242"/>
      <c r="I228" s="242"/>
      <c r="J228" s="242"/>
      <c r="K228" s="242"/>
    </row>
    <row r="229" spans="1:11" ht="11.25" customHeight="1" x14ac:dyDescent="0.25"/>
    <row r="230" spans="1:11" ht="11.25" customHeight="1" x14ac:dyDescent="0.25"/>
    <row r="231" spans="1:11" ht="11.25" customHeight="1" x14ac:dyDescent="0.25"/>
    <row r="232" spans="1:11" ht="11.25" customHeight="1" x14ac:dyDescent="0.25"/>
    <row r="233" spans="1:11" ht="11.25" customHeight="1" x14ac:dyDescent="0.25"/>
    <row r="234" spans="1:11" ht="11.25" customHeight="1" x14ac:dyDescent="0.25"/>
    <row r="235" spans="1:11" ht="11.25" customHeight="1" x14ac:dyDescent="0.25"/>
    <row r="236" spans="1:11" ht="11.25" customHeight="1" x14ac:dyDescent="0.25"/>
    <row r="237" spans="1:11" ht="11.25" customHeight="1" x14ac:dyDescent="0.25"/>
    <row r="238" spans="1:11" ht="11.25" customHeight="1" x14ac:dyDescent="0.25"/>
    <row r="239" spans="1:11" ht="11.25" customHeight="1" x14ac:dyDescent="0.25"/>
    <row r="240" spans="1:11"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sheetData>
  <mergeCells count="2">
    <mergeCell ref="L2:W2"/>
    <mergeCell ref="D2:K2"/>
  </mergeCells>
  <phoneticPr fontId="2" type="noConversion"/>
  <pageMargins left="0.94488188976377963" right="0.74803149606299213" top="0.98425196850393704" bottom="0.98425196850393704" header="0.51181102362204722" footer="0.51181102362204722"/>
  <pageSetup paperSize="8" scale="75" orientation="portrait" r:id="rId1"/>
  <headerFooter alignWithMargins="0">
    <oddFooter>&amp;L&amp;F&amp;C&amp;A&amp;R&amp;D</oddFooter>
  </headerFooter>
  <customProperties>
    <customPr name="_pios_id" r:id="rId2"/>
    <customPr name="CofWorksheetType"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W109"/>
  <sheetViews>
    <sheetView topLeftCell="H76" workbookViewId="0">
      <selection activeCell="O109" sqref="O109"/>
    </sheetView>
  </sheetViews>
  <sheetFormatPr defaultRowHeight="12.75" x14ac:dyDescent="0.2"/>
  <cols>
    <col min="1" max="1" width="69.7109375" customWidth="1"/>
    <col min="2" max="2" width="15" customWidth="1"/>
    <col min="3" max="3" width="13.5703125" customWidth="1"/>
    <col min="4" max="4" width="14.28515625" customWidth="1"/>
    <col min="5" max="5" width="13.7109375" customWidth="1"/>
    <col min="6" max="6" width="17.85546875" customWidth="1"/>
    <col min="7" max="7" width="17.7109375" customWidth="1"/>
    <col min="8" max="8" width="12.42578125" customWidth="1"/>
    <col min="9" max="9" width="19.7109375" customWidth="1"/>
    <col min="10" max="10" width="16" customWidth="1"/>
    <col min="14" max="14" width="69.7109375" customWidth="1"/>
    <col min="15" max="15" width="15" customWidth="1"/>
    <col min="16" max="16" width="13.5703125" customWidth="1"/>
    <col min="17" max="17" width="14.28515625" customWidth="1"/>
    <col min="18" max="18" width="13.7109375" customWidth="1"/>
    <col min="19" max="19" width="17.85546875" customWidth="1"/>
    <col min="20" max="20" width="17.7109375" customWidth="1"/>
    <col min="21" max="21" width="12.42578125" customWidth="1"/>
    <col min="22" max="22" width="19.7109375" customWidth="1"/>
    <col min="23" max="23" width="16" customWidth="1"/>
  </cols>
  <sheetData>
    <row r="1" spans="1:23" x14ac:dyDescent="0.2">
      <c r="A1" s="285" t="s">
        <v>1769</v>
      </c>
      <c r="N1" s="285" t="s">
        <v>1770</v>
      </c>
    </row>
    <row r="2" spans="1:23" x14ac:dyDescent="0.2">
      <c r="A2" s="659" t="s">
        <v>973</v>
      </c>
      <c r="B2" s="660" t="s">
        <v>471</v>
      </c>
      <c r="C2" s="660" t="s">
        <v>558</v>
      </c>
      <c r="D2" s="660" t="s">
        <v>773</v>
      </c>
      <c r="E2" s="660" t="s">
        <v>1545</v>
      </c>
      <c r="F2" s="660" t="s">
        <v>1546</v>
      </c>
      <c r="G2" s="660" t="s">
        <v>1547</v>
      </c>
      <c r="H2" s="660" t="s">
        <v>1548</v>
      </c>
      <c r="I2" s="660" t="s">
        <v>1549</v>
      </c>
      <c r="J2" s="660" t="s">
        <v>774</v>
      </c>
      <c r="N2" s="659" t="s">
        <v>973</v>
      </c>
      <c r="O2" s="660" t="s">
        <v>471</v>
      </c>
      <c r="P2" s="660" t="s">
        <v>558</v>
      </c>
      <c r="Q2" s="660" t="s">
        <v>773</v>
      </c>
      <c r="R2" s="660" t="s">
        <v>1545</v>
      </c>
      <c r="S2" s="660" t="s">
        <v>1546</v>
      </c>
      <c r="T2" s="660" t="s">
        <v>1547</v>
      </c>
      <c r="U2" s="660" t="s">
        <v>1548</v>
      </c>
      <c r="V2" s="660" t="s">
        <v>1549</v>
      </c>
      <c r="W2" s="660" t="s">
        <v>774</v>
      </c>
    </row>
    <row r="3" spans="1:23" x14ac:dyDescent="0.2">
      <c r="A3" s="659" t="s">
        <v>1792</v>
      </c>
      <c r="B3" s="661" t="s">
        <v>973</v>
      </c>
      <c r="C3" s="661" t="s">
        <v>973</v>
      </c>
      <c r="D3" s="661" t="s">
        <v>973</v>
      </c>
      <c r="E3" s="661" t="s">
        <v>973</v>
      </c>
      <c r="F3" s="661" t="s">
        <v>973</v>
      </c>
      <c r="G3" s="661" t="s">
        <v>973</v>
      </c>
      <c r="H3" s="661" t="s">
        <v>973</v>
      </c>
      <c r="I3" s="661" t="s">
        <v>528</v>
      </c>
      <c r="J3" s="661" t="s">
        <v>973</v>
      </c>
      <c r="N3" s="659" t="s">
        <v>1792</v>
      </c>
      <c r="O3" s="661" t="s">
        <v>973</v>
      </c>
      <c r="P3" s="661" t="s">
        <v>973</v>
      </c>
      <c r="Q3" s="661" t="s">
        <v>973</v>
      </c>
      <c r="R3" s="661" t="s">
        <v>973</v>
      </c>
      <c r="S3" s="661" t="s">
        <v>973</v>
      </c>
      <c r="T3" s="661" t="s">
        <v>973</v>
      </c>
      <c r="U3" s="661" t="s">
        <v>973</v>
      </c>
      <c r="V3" s="661" t="s">
        <v>528</v>
      </c>
      <c r="W3" s="661" t="s">
        <v>973</v>
      </c>
    </row>
    <row r="4" spans="1:23" x14ac:dyDescent="0.2">
      <c r="A4" s="639" t="s">
        <v>1793</v>
      </c>
      <c r="B4" s="637">
        <v>-245280071.96000001</v>
      </c>
      <c r="C4" s="637">
        <v>-81325600</v>
      </c>
      <c r="D4" s="637">
        <v>-98239900</v>
      </c>
      <c r="E4" s="637">
        <v>-20267267.41</v>
      </c>
      <c r="F4" s="637">
        <v>-47791187.420000002</v>
      </c>
      <c r="G4" s="637">
        <v>-44384933.490000002</v>
      </c>
      <c r="H4" s="637">
        <v>3406253.93</v>
      </c>
      <c r="I4" s="637">
        <v>7.6743472664376897</v>
      </c>
      <c r="J4" s="637">
        <v>-98239900</v>
      </c>
      <c r="N4" s="639" t="s">
        <v>1793</v>
      </c>
      <c r="O4" s="637">
        <v>384425555.91000003</v>
      </c>
      <c r="P4" s="637">
        <v>211192900</v>
      </c>
      <c r="Q4" s="637">
        <v>216725296.02000001</v>
      </c>
      <c r="R4" s="637">
        <v>11656950.890000001</v>
      </c>
      <c r="S4" s="637">
        <v>127374447.92</v>
      </c>
      <c r="T4" s="637">
        <v>148599728.94999999</v>
      </c>
      <c r="U4" s="637">
        <v>21225281.030000001</v>
      </c>
      <c r="V4" s="637">
        <v>87.7572165432411</v>
      </c>
      <c r="W4" s="637">
        <v>216725296.02000001</v>
      </c>
    </row>
    <row r="5" spans="1:23" x14ac:dyDescent="0.2">
      <c r="A5" s="656" t="s">
        <v>1794</v>
      </c>
      <c r="B5" s="637">
        <v>-66280.52</v>
      </c>
      <c r="C5" s="637">
        <v>-27900</v>
      </c>
      <c r="D5" s="637">
        <v>-28000</v>
      </c>
      <c r="E5" s="637">
        <v>-2275</v>
      </c>
      <c r="F5" s="637">
        <v>-22766.18</v>
      </c>
      <c r="G5" s="637">
        <v>-22909.05</v>
      </c>
      <c r="H5" s="637">
        <v>-142.87</v>
      </c>
      <c r="I5" s="637">
        <v>-0.62364000253175</v>
      </c>
      <c r="J5" s="637">
        <v>-28000</v>
      </c>
      <c r="N5" s="656" t="s">
        <v>1794</v>
      </c>
      <c r="O5" s="637">
        <v>4176344.34</v>
      </c>
      <c r="P5" s="637">
        <v>4269600</v>
      </c>
      <c r="Q5" s="637">
        <v>11029500</v>
      </c>
      <c r="R5" s="637">
        <v>1354117.11</v>
      </c>
      <c r="S5" s="637">
        <v>5523747.0499999998</v>
      </c>
      <c r="T5" s="637">
        <v>4634181.0599999996</v>
      </c>
      <c r="U5" s="637">
        <v>-889565.99</v>
      </c>
      <c r="V5" s="637">
        <v>-19.195753866379999</v>
      </c>
      <c r="W5" s="637">
        <v>11029500</v>
      </c>
    </row>
    <row r="6" spans="1:23" x14ac:dyDescent="0.2">
      <c r="A6" s="656" t="s">
        <v>1386</v>
      </c>
      <c r="B6" s="637">
        <v>-135481643.83000001</v>
      </c>
      <c r="C6" s="637">
        <v>-71028900</v>
      </c>
      <c r="D6" s="637">
        <v>-72744000</v>
      </c>
      <c r="E6" s="637">
        <v>-202118.68</v>
      </c>
      <c r="F6" s="637">
        <v>-17679249.719999999</v>
      </c>
      <c r="G6" s="637">
        <v>-32767799.600000001</v>
      </c>
      <c r="H6" s="637">
        <v>-15088549.880000001</v>
      </c>
      <c r="I6" s="637">
        <v>-46.046881585542899</v>
      </c>
      <c r="J6" s="637">
        <v>-72744000</v>
      </c>
      <c r="N6" s="656" t="s">
        <v>1386</v>
      </c>
      <c r="O6" s="637">
        <v>163790597.63</v>
      </c>
      <c r="P6" s="637">
        <v>94938900</v>
      </c>
      <c r="Q6" s="637">
        <v>96379953.040000007</v>
      </c>
      <c r="R6" s="637">
        <v>2486516.38</v>
      </c>
      <c r="S6" s="637">
        <v>37540503.340000004</v>
      </c>
      <c r="T6" s="637">
        <v>54060184.719999999</v>
      </c>
      <c r="U6" s="637">
        <v>16519681.380000001</v>
      </c>
      <c r="V6" s="637">
        <v>30.557944752801401</v>
      </c>
      <c r="W6" s="637">
        <v>96379953.040000007</v>
      </c>
    </row>
    <row r="7" spans="1:23" x14ac:dyDescent="0.2">
      <c r="A7" s="656" t="s">
        <v>1387</v>
      </c>
      <c r="B7" s="637">
        <v>-69144.240000000005</v>
      </c>
      <c r="C7" s="637">
        <v>-40900</v>
      </c>
      <c r="D7" s="637">
        <v>-41000</v>
      </c>
      <c r="E7" s="637">
        <v>-3408.33</v>
      </c>
      <c r="F7" s="637">
        <v>-34109.57</v>
      </c>
      <c r="G7" s="637">
        <v>-34103.769999999997</v>
      </c>
      <c r="H7" s="637">
        <v>5.8</v>
      </c>
      <c r="I7" s="637">
        <v>1.7006917417048E-2</v>
      </c>
      <c r="J7" s="637">
        <v>-41000</v>
      </c>
      <c r="N7" s="656" t="s">
        <v>1387</v>
      </c>
      <c r="O7" s="637">
        <v>3308420.04</v>
      </c>
      <c r="P7" s="637">
        <v>3513400</v>
      </c>
      <c r="Q7" s="637">
        <v>3532800.01</v>
      </c>
      <c r="R7" s="637">
        <v>294763.98</v>
      </c>
      <c r="S7" s="637">
        <v>2907952.36</v>
      </c>
      <c r="T7" s="637">
        <v>2935764.05</v>
      </c>
      <c r="U7" s="637">
        <v>27811.69</v>
      </c>
      <c r="V7" s="637">
        <v>0.94734077828904595</v>
      </c>
      <c r="W7" s="637">
        <v>3532800.01</v>
      </c>
    </row>
    <row r="8" spans="1:23" x14ac:dyDescent="0.2">
      <c r="A8" s="656" t="s">
        <v>1795</v>
      </c>
      <c r="B8" s="637">
        <v>-43514.74</v>
      </c>
      <c r="C8" s="637">
        <v>-13600</v>
      </c>
      <c r="D8" s="637">
        <v>-13800</v>
      </c>
      <c r="E8" s="637">
        <v>-1133.3399999999999</v>
      </c>
      <c r="F8" s="637">
        <v>-11333.4</v>
      </c>
      <c r="G8" s="637">
        <v>-11419.08</v>
      </c>
      <c r="H8" s="637">
        <v>-85.68</v>
      </c>
      <c r="I8" s="637">
        <v>-0.75032314337056905</v>
      </c>
      <c r="J8" s="637">
        <v>-13800</v>
      </c>
      <c r="N8" s="656" t="s">
        <v>1795</v>
      </c>
      <c r="O8" s="637">
        <v>1903100.06</v>
      </c>
      <c r="P8" s="637">
        <v>2525900</v>
      </c>
      <c r="Q8" s="637">
        <v>2633239.96</v>
      </c>
      <c r="R8" s="637">
        <v>165097.18</v>
      </c>
      <c r="S8" s="637">
        <v>1870212.48</v>
      </c>
      <c r="T8" s="637">
        <v>1887822.94</v>
      </c>
      <c r="U8" s="637">
        <v>17610.46</v>
      </c>
      <c r="V8" s="637">
        <v>0.93284489910902402</v>
      </c>
      <c r="W8" s="637">
        <v>2633239.96</v>
      </c>
    </row>
    <row r="9" spans="1:23" x14ac:dyDescent="0.2">
      <c r="A9" s="656" t="s">
        <v>1796</v>
      </c>
      <c r="B9" s="637">
        <v>-2180978.12</v>
      </c>
      <c r="C9" s="637">
        <v>-150100</v>
      </c>
      <c r="D9" s="637">
        <v>-150100</v>
      </c>
      <c r="E9" s="637">
        <v>-12508.33</v>
      </c>
      <c r="F9" s="637">
        <v>-125083.3</v>
      </c>
      <c r="G9" s="637">
        <v>-125083.33</v>
      </c>
      <c r="H9" s="637">
        <v>-0.03</v>
      </c>
      <c r="I9" s="637">
        <v>-2.3984011298707801E-5</v>
      </c>
      <c r="J9" s="637">
        <v>-150100</v>
      </c>
      <c r="N9" s="656" t="s">
        <v>1796</v>
      </c>
      <c r="O9" s="637">
        <v>24712913.140000001</v>
      </c>
      <c r="P9" s="637">
        <v>24642500</v>
      </c>
      <c r="Q9" s="637">
        <v>24199900</v>
      </c>
      <c r="R9" s="637">
        <v>1590500.52</v>
      </c>
      <c r="S9" s="637">
        <v>17269031.350000001</v>
      </c>
      <c r="T9" s="637">
        <v>19965855.280000001</v>
      </c>
      <c r="U9" s="637">
        <v>2696823.93</v>
      </c>
      <c r="V9" s="637">
        <v>13.5071795932601</v>
      </c>
      <c r="W9" s="637">
        <v>24199900</v>
      </c>
    </row>
    <row r="10" spans="1:23" x14ac:dyDescent="0.2">
      <c r="A10" s="656" t="s">
        <v>1797</v>
      </c>
      <c r="B10" s="637">
        <v>-100570210.08</v>
      </c>
      <c r="C10" s="637">
        <v>-1911700</v>
      </c>
      <c r="D10" s="637">
        <v>-2811700</v>
      </c>
      <c r="E10" s="637">
        <v>-181497.05</v>
      </c>
      <c r="F10" s="637">
        <v>-12451259.42</v>
      </c>
      <c r="G10" s="637">
        <v>-12659101.74</v>
      </c>
      <c r="H10" s="637">
        <v>-207842.32</v>
      </c>
      <c r="I10" s="637">
        <v>-1.6418409794690501</v>
      </c>
      <c r="J10" s="637">
        <v>-2811700</v>
      </c>
      <c r="N10" s="656" t="s">
        <v>1797</v>
      </c>
      <c r="O10" s="637">
        <v>5726001.9000000004</v>
      </c>
      <c r="P10" s="637">
        <v>4668500</v>
      </c>
      <c r="Q10" s="637">
        <v>4682052.4800000004</v>
      </c>
      <c r="R10" s="637">
        <v>208727.55</v>
      </c>
      <c r="S10" s="637">
        <v>4317263.83</v>
      </c>
      <c r="T10" s="637">
        <v>5125151.84</v>
      </c>
      <c r="U10" s="637">
        <v>807888.01</v>
      </c>
      <c r="V10" s="637">
        <v>15.7632014664369</v>
      </c>
      <c r="W10" s="637">
        <v>4682052.4800000004</v>
      </c>
    </row>
    <row r="11" spans="1:23" x14ac:dyDescent="0.2">
      <c r="A11" s="656" t="s">
        <v>1798</v>
      </c>
      <c r="B11" s="637">
        <v>-1087238.75</v>
      </c>
      <c r="C11" s="637">
        <v>-3245800</v>
      </c>
      <c r="D11" s="637">
        <v>-17145800</v>
      </c>
      <c r="E11" s="637">
        <v>-19442633.629999999</v>
      </c>
      <c r="F11" s="637">
        <v>-13188879.539999999</v>
      </c>
      <c r="G11" s="637">
        <v>5333181.82</v>
      </c>
      <c r="H11" s="637">
        <v>18522061.359999999</v>
      </c>
      <c r="I11" s="637">
        <v>347.29851681674</v>
      </c>
      <c r="J11" s="637">
        <v>-17145800</v>
      </c>
      <c r="N11" s="656" t="s">
        <v>1798</v>
      </c>
      <c r="O11" s="637">
        <v>138342900.41999999</v>
      </c>
      <c r="P11" s="637">
        <v>30928400</v>
      </c>
      <c r="Q11" s="637">
        <v>29525489.02</v>
      </c>
      <c r="R11" s="637">
        <v>2088557.97</v>
      </c>
      <c r="S11" s="637">
        <v>22581396.800000001</v>
      </c>
      <c r="T11" s="637">
        <v>23337673.059999999</v>
      </c>
      <c r="U11" s="637">
        <v>756276.26</v>
      </c>
      <c r="V11" s="637">
        <v>3.2405812612750702</v>
      </c>
      <c r="W11" s="637">
        <v>29525489.02</v>
      </c>
    </row>
    <row r="12" spans="1:23" x14ac:dyDescent="0.2">
      <c r="A12" s="656" t="s">
        <v>1799</v>
      </c>
      <c r="B12" s="637">
        <v>-2095058</v>
      </c>
      <c r="C12" s="637">
        <v>-1456400</v>
      </c>
      <c r="D12" s="637">
        <v>-1943100</v>
      </c>
      <c r="E12" s="637">
        <v>-179288.58</v>
      </c>
      <c r="F12" s="637">
        <v>-1818649.48</v>
      </c>
      <c r="G12" s="637">
        <v>-1598670.14</v>
      </c>
      <c r="H12" s="637">
        <v>219979.34</v>
      </c>
      <c r="I12" s="637">
        <v>13.760145667072999</v>
      </c>
      <c r="J12" s="637">
        <v>-1943100</v>
      </c>
      <c r="N12" s="656" t="s">
        <v>1799</v>
      </c>
      <c r="O12" s="637">
        <v>25122216.899999999</v>
      </c>
      <c r="P12" s="637">
        <v>27048000</v>
      </c>
      <c r="Q12" s="637">
        <v>27823278.48</v>
      </c>
      <c r="R12" s="637">
        <v>2256346.2999999998</v>
      </c>
      <c r="S12" s="637">
        <v>23169683.18</v>
      </c>
      <c r="T12" s="637">
        <v>23226590.760000002</v>
      </c>
      <c r="U12" s="637">
        <v>56907.58</v>
      </c>
      <c r="V12" s="637">
        <v>0.24501047350437799</v>
      </c>
      <c r="W12" s="637">
        <v>27823278.48</v>
      </c>
    </row>
    <row r="13" spans="1:23" x14ac:dyDescent="0.2">
      <c r="A13" s="656" t="s">
        <v>1800</v>
      </c>
      <c r="B13" s="637">
        <v>-99614.46</v>
      </c>
      <c r="C13" s="637">
        <v>-65800</v>
      </c>
      <c r="D13" s="637">
        <v>-65900</v>
      </c>
      <c r="E13" s="637">
        <v>-4550</v>
      </c>
      <c r="F13" s="637">
        <v>-221611.81</v>
      </c>
      <c r="G13" s="637">
        <v>-221654.68</v>
      </c>
      <c r="H13" s="637">
        <v>-42.87</v>
      </c>
      <c r="I13" s="637">
        <v>-1.9340895486619099E-2</v>
      </c>
      <c r="J13" s="637">
        <v>-65900</v>
      </c>
      <c r="N13" s="656" t="s">
        <v>1800</v>
      </c>
      <c r="O13" s="637">
        <v>5929627.96</v>
      </c>
      <c r="P13" s="637">
        <v>8274100</v>
      </c>
      <c r="Q13" s="637">
        <v>7020882.7300000004</v>
      </c>
      <c r="R13" s="637">
        <v>465375.67</v>
      </c>
      <c r="S13" s="637">
        <v>4623386.84</v>
      </c>
      <c r="T13" s="637">
        <v>5508925</v>
      </c>
      <c r="U13" s="637">
        <v>885538.16</v>
      </c>
      <c r="V13" s="637">
        <v>16.074609111577999</v>
      </c>
      <c r="W13" s="637">
        <v>7020882.7300000004</v>
      </c>
    </row>
    <row r="14" spans="1:23" x14ac:dyDescent="0.2">
      <c r="A14" s="656" t="s">
        <v>1801</v>
      </c>
      <c r="B14" s="637">
        <v>-431787.13</v>
      </c>
      <c r="C14" s="637">
        <v>-464700</v>
      </c>
      <c r="D14" s="637">
        <v>-464700</v>
      </c>
      <c r="E14" s="637">
        <v>-36286.32</v>
      </c>
      <c r="F14" s="637">
        <v>-360363.59</v>
      </c>
      <c r="G14" s="637">
        <v>-364218.07</v>
      </c>
      <c r="H14" s="637">
        <v>-3854.48</v>
      </c>
      <c r="I14" s="637">
        <v>-1.05828906292321</v>
      </c>
      <c r="J14" s="637">
        <v>-464700</v>
      </c>
      <c r="N14" s="656" t="s">
        <v>1801</v>
      </c>
      <c r="O14" s="637">
        <v>2849313.42</v>
      </c>
      <c r="P14" s="637">
        <v>747300</v>
      </c>
      <c r="Q14" s="637">
        <v>709300.3</v>
      </c>
      <c r="R14" s="637">
        <v>53582.400000000001</v>
      </c>
      <c r="S14" s="637">
        <v>533589.4</v>
      </c>
      <c r="T14" s="637">
        <v>581731.31999999995</v>
      </c>
      <c r="U14" s="637">
        <v>48141.919999999998</v>
      </c>
      <c r="V14" s="637">
        <v>8.2756279995376598</v>
      </c>
      <c r="W14" s="637">
        <v>709300.3</v>
      </c>
    </row>
    <row r="15" spans="1:23" x14ac:dyDescent="0.2">
      <c r="A15" s="656" t="s">
        <v>1802</v>
      </c>
      <c r="B15" s="637">
        <v>-136957.85</v>
      </c>
      <c r="C15" s="637">
        <v>-245800</v>
      </c>
      <c r="D15" s="637">
        <v>-157800</v>
      </c>
      <c r="E15" s="637">
        <v>-8898.5499999999993</v>
      </c>
      <c r="F15" s="637">
        <v>-207280.59</v>
      </c>
      <c r="G15" s="637">
        <v>-201470.15</v>
      </c>
      <c r="H15" s="637">
        <v>5810.44</v>
      </c>
      <c r="I15" s="637">
        <v>2.88402028786895</v>
      </c>
      <c r="J15" s="637">
        <v>-157800</v>
      </c>
      <c r="N15" s="656" t="s">
        <v>1802</v>
      </c>
      <c r="O15" s="637">
        <v>1062292.45</v>
      </c>
      <c r="P15" s="637">
        <v>1491500</v>
      </c>
      <c r="Q15" s="637">
        <v>1454000</v>
      </c>
      <c r="R15" s="637">
        <v>96357.28</v>
      </c>
      <c r="S15" s="637">
        <v>1091215.29</v>
      </c>
      <c r="T15" s="637">
        <v>1152343.19</v>
      </c>
      <c r="U15" s="637">
        <v>61127.9</v>
      </c>
      <c r="V15" s="637">
        <v>5.3046610185634</v>
      </c>
      <c r="W15" s="637">
        <v>1454000</v>
      </c>
    </row>
    <row r="16" spans="1:23" x14ac:dyDescent="0.2">
      <c r="A16" s="656" t="s">
        <v>1803</v>
      </c>
      <c r="B16" s="637">
        <v>-101644.24</v>
      </c>
      <c r="C16" s="637"/>
      <c r="D16" s="637"/>
      <c r="E16" s="637"/>
      <c r="F16" s="637"/>
      <c r="G16" s="637"/>
      <c r="H16" s="637"/>
      <c r="I16" s="637"/>
      <c r="J16" s="637"/>
      <c r="N16" s="656" t="s">
        <v>1803</v>
      </c>
      <c r="O16" s="637">
        <v>4585827.6500000004</v>
      </c>
      <c r="P16" s="637">
        <v>5470800</v>
      </c>
      <c r="Q16" s="637">
        <v>5060900</v>
      </c>
      <c r="R16" s="637">
        <v>404338.95</v>
      </c>
      <c r="S16" s="637">
        <v>4275865.18</v>
      </c>
      <c r="T16" s="637">
        <v>4289896.7699999996</v>
      </c>
      <c r="U16" s="637">
        <v>14031.59</v>
      </c>
      <c r="V16" s="637">
        <v>0.32708456059188601</v>
      </c>
      <c r="W16" s="637">
        <v>5060900</v>
      </c>
    </row>
    <row r="17" spans="1:23" x14ac:dyDescent="0.2">
      <c r="A17" s="656" t="s">
        <v>1804</v>
      </c>
      <c r="B17" s="637">
        <v>-2916000</v>
      </c>
      <c r="C17" s="637">
        <v>-2674000</v>
      </c>
      <c r="D17" s="637">
        <v>-2674000</v>
      </c>
      <c r="E17" s="637">
        <v>-192669.6</v>
      </c>
      <c r="F17" s="637">
        <v>-1670600.82</v>
      </c>
      <c r="G17" s="637">
        <v>-1711685.7</v>
      </c>
      <c r="H17" s="637">
        <v>-41084.879999999997</v>
      </c>
      <c r="I17" s="637">
        <v>-2.4002584119269099</v>
      </c>
      <c r="J17" s="637">
        <v>-2674000</v>
      </c>
      <c r="N17" s="656" t="s">
        <v>1804</v>
      </c>
      <c r="O17" s="637">
        <v>2916000</v>
      </c>
      <c r="P17" s="637">
        <v>2674000</v>
      </c>
      <c r="Q17" s="637">
        <v>2674000</v>
      </c>
      <c r="R17" s="637">
        <v>192669.6</v>
      </c>
      <c r="S17" s="637">
        <v>1670600.82</v>
      </c>
      <c r="T17" s="637">
        <v>1893608.96</v>
      </c>
      <c r="U17" s="637">
        <v>223008.14</v>
      </c>
      <c r="V17" s="637">
        <v>11.7768844946741</v>
      </c>
      <c r="W17" s="637">
        <v>2674000</v>
      </c>
    </row>
    <row r="18" spans="1:23" x14ac:dyDescent="0.2">
      <c r="A18" s="639" t="s">
        <v>1805</v>
      </c>
      <c r="B18" s="637">
        <v>-239640794.66</v>
      </c>
      <c r="C18" s="637">
        <v>-258991800</v>
      </c>
      <c r="D18" s="637">
        <v>-257334300</v>
      </c>
      <c r="E18" s="637">
        <v>-11606508.35</v>
      </c>
      <c r="F18" s="637">
        <v>-228500467.77000001</v>
      </c>
      <c r="G18" s="637">
        <v>-236287558.63999999</v>
      </c>
      <c r="H18" s="637">
        <v>-7787090.8700000001</v>
      </c>
      <c r="I18" s="637">
        <v>-3.29559919058801</v>
      </c>
      <c r="J18" s="637">
        <v>-257334300</v>
      </c>
      <c r="N18" s="639" t="s">
        <v>1805</v>
      </c>
      <c r="O18" s="637">
        <v>326198257.19999999</v>
      </c>
      <c r="P18" s="637">
        <v>373205200</v>
      </c>
      <c r="Q18" s="637">
        <v>349574524.74000001</v>
      </c>
      <c r="R18" s="637">
        <v>25631135.530000001</v>
      </c>
      <c r="S18" s="637">
        <v>270808293.25</v>
      </c>
      <c r="T18" s="637">
        <v>277598685.31999999</v>
      </c>
      <c r="U18" s="637">
        <v>6790392.0700000003</v>
      </c>
      <c r="V18" s="637">
        <v>39.356375527003301</v>
      </c>
      <c r="W18" s="637">
        <v>349574524.74000001</v>
      </c>
    </row>
    <row r="19" spans="1:23" x14ac:dyDescent="0.2">
      <c r="A19" s="656" t="s">
        <v>1806</v>
      </c>
      <c r="B19" s="637">
        <v>-41314.74</v>
      </c>
      <c r="C19" s="637">
        <v>-13600</v>
      </c>
      <c r="D19" s="637">
        <v>-13800</v>
      </c>
      <c r="E19" s="637">
        <v>-1133.3399999999999</v>
      </c>
      <c r="F19" s="637">
        <v>-11333.4</v>
      </c>
      <c r="G19" s="637">
        <v>-11419.08</v>
      </c>
      <c r="H19" s="637">
        <v>-85.68</v>
      </c>
      <c r="I19" s="637">
        <v>-0.75032314337056905</v>
      </c>
      <c r="J19" s="637">
        <v>-13800</v>
      </c>
      <c r="N19" s="656" t="s">
        <v>1806</v>
      </c>
      <c r="O19" s="637">
        <v>2504008.2599999998</v>
      </c>
      <c r="P19" s="637">
        <v>4187600</v>
      </c>
      <c r="Q19" s="637">
        <v>3534372.39</v>
      </c>
      <c r="R19" s="637">
        <v>263207.36</v>
      </c>
      <c r="S19" s="637">
        <v>2704294.08</v>
      </c>
      <c r="T19" s="637">
        <v>2800570.82</v>
      </c>
      <c r="U19" s="637">
        <v>96276.74</v>
      </c>
      <c r="V19" s="637">
        <v>3.4377541647027501</v>
      </c>
      <c r="W19" s="637">
        <v>3534372.39</v>
      </c>
    </row>
    <row r="20" spans="1:23" x14ac:dyDescent="0.2">
      <c r="A20" s="656" t="s">
        <v>1807</v>
      </c>
      <c r="B20" s="637">
        <v>-5349885.04</v>
      </c>
      <c r="C20" s="637">
        <v>-1933000</v>
      </c>
      <c r="D20" s="637">
        <v>-2394100</v>
      </c>
      <c r="E20" s="637">
        <v>-172459.87</v>
      </c>
      <c r="F20" s="637">
        <v>-1962653.31</v>
      </c>
      <c r="G20" s="637">
        <v>-1845889.79</v>
      </c>
      <c r="H20" s="637">
        <v>116763.52</v>
      </c>
      <c r="I20" s="637">
        <v>6.3255954192151398</v>
      </c>
      <c r="J20" s="637">
        <v>-2394100</v>
      </c>
      <c r="N20" s="656" t="s">
        <v>1807</v>
      </c>
      <c r="O20" s="637">
        <v>118358522.88</v>
      </c>
      <c r="P20" s="637">
        <v>122121400</v>
      </c>
      <c r="Q20" s="637">
        <v>119998596.16</v>
      </c>
      <c r="R20" s="637">
        <v>8940695.9000000004</v>
      </c>
      <c r="S20" s="637">
        <v>94322059</v>
      </c>
      <c r="T20" s="637">
        <v>96780850.769999996</v>
      </c>
      <c r="U20" s="637">
        <v>2458791.77</v>
      </c>
      <c r="V20" s="637">
        <v>2.5405767261163299</v>
      </c>
      <c r="W20" s="637">
        <v>119998596.16</v>
      </c>
    </row>
    <row r="21" spans="1:23" x14ac:dyDescent="0.2">
      <c r="A21" s="656" t="s">
        <v>1808</v>
      </c>
      <c r="B21" s="637">
        <v>-9000877.2100000009</v>
      </c>
      <c r="C21" s="637">
        <v>-15051400</v>
      </c>
      <c r="D21" s="637">
        <v>-15751400</v>
      </c>
      <c r="E21" s="637">
        <v>-649389.42000000004</v>
      </c>
      <c r="F21" s="637">
        <v>-13481321.35</v>
      </c>
      <c r="G21" s="637">
        <v>-15159614.289999999</v>
      </c>
      <c r="H21" s="637">
        <v>-1678292.94</v>
      </c>
      <c r="I21" s="637">
        <v>-11.0708155754799</v>
      </c>
      <c r="J21" s="637">
        <v>-15751400</v>
      </c>
      <c r="N21" s="656" t="s">
        <v>1808</v>
      </c>
      <c r="O21" s="637">
        <v>5531096.6600000001</v>
      </c>
      <c r="P21" s="637">
        <v>24495500</v>
      </c>
      <c r="Q21" s="637">
        <v>11265868.890000001</v>
      </c>
      <c r="R21" s="637">
        <v>1476907.81</v>
      </c>
      <c r="S21" s="637">
        <v>4343928.6900000004</v>
      </c>
      <c r="T21" s="637">
        <v>6111494.9500000002</v>
      </c>
      <c r="U21" s="637">
        <v>1767566.26</v>
      </c>
      <c r="V21" s="637">
        <v>28.921994936770801</v>
      </c>
      <c r="W21" s="637">
        <v>11265868.890000001</v>
      </c>
    </row>
    <row r="22" spans="1:23" x14ac:dyDescent="0.2">
      <c r="A22" s="656" t="s">
        <v>1809</v>
      </c>
      <c r="B22" s="637">
        <v>-222890114.58000001</v>
      </c>
      <c r="C22" s="637">
        <v>-240789400</v>
      </c>
      <c r="D22" s="637">
        <v>-237370400</v>
      </c>
      <c r="E22" s="637">
        <v>-10684009.050000001</v>
      </c>
      <c r="F22" s="637">
        <v>-212049993.00999999</v>
      </c>
      <c r="G22" s="637">
        <v>-217675383.06999999</v>
      </c>
      <c r="H22" s="637">
        <v>-5625390.0599999996</v>
      </c>
      <c r="I22" s="637">
        <v>-2.5843023591652501</v>
      </c>
      <c r="J22" s="637">
        <v>-237370400</v>
      </c>
      <c r="N22" s="656" t="s">
        <v>1809</v>
      </c>
      <c r="O22" s="637">
        <v>146131408.72</v>
      </c>
      <c r="P22" s="637">
        <v>163661400</v>
      </c>
      <c r="Q22" s="637">
        <v>156977670.06999999</v>
      </c>
      <c r="R22" s="637">
        <v>11090058.42</v>
      </c>
      <c r="S22" s="637">
        <v>126022814.61</v>
      </c>
      <c r="T22" s="637">
        <v>127299840.56</v>
      </c>
      <c r="U22" s="637">
        <v>1277025.95</v>
      </c>
      <c r="V22" s="637">
        <v>1.00316382517235</v>
      </c>
      <c r="W22" s="637">
        <v>156977670.06999999</v>
      </c>
    </row>
    <row r="23" spans="1:23" x14ac:dyDescent="0.2">
      <c r="A23" s="656" t="s">
        <v>1810</v>
      </c>
      <c r="B23" s="637">
        <v>-1953707.57</v>
      </c>
      <c r="C23" s="637">
        <v>-1177100</v>
      </c>
      <c r="D23" s="637">
        <v>-1777200</v>
      </c>
      <c r="E23" s="637">
        <v>-97241.67</v>
      </c>
      <c r="F23" s="637">
        <v>-972416.7</v>
      </c>
      <c r="G23" s="637">
        <v>-1572459.54</v>
      </c>
      <c r="H23" s="637">
        <v>-600042.84</v>
      </c>
      <c r="I23" s="637">
        <v>-38.159509019863201</v>
      </c>
      <c r="J23" s="637">
        <v>-1777200</v>
      </c>
      <c r="N23" s="656" t="s">
        <v>1810</v>
      </c>
      <c r="O23" s="637">
        <v>45189983.770000003</v>
      </c>
      <c r="P23" s="637">
        <v>48151500</v>
      </c>
      <c r="Q23" s="637">
        <v>47480628.600000001</v>
      </c>
      <c r="R23" s="637">
        <v>3115034.92</v>
      </c>
      <c r="S23" s="637">
        <v>34845287.140000001</v>
      </c>
      <c r="T23" s="637">
        <v>36105200.859999999</v>
      </c>
      <c r="U23" s="637">
        <v>1259913.72</v>
      </c>
      <c r="V23" s="637">
        <v>3.48956297151036</v>
      </c>
      <c r="W23" s="637">
        <v>47480628.600000001</v>
      </c>
    </row>
    <row r="24" spans="1:23" x14ac:dyDescent="0.2">
      <c r="A24" s="656" t="s">
        <v>1811</v>
      </c>
      <c r="B24" s="637">
        <v>-55729.49</v>
      </c>
      <c r="C24" s="637">
        <v>-27300</v>
      </c>
      <c r="D24" s="637">
        <v>-27400</v>
      </c>
      <c r="E24" s="637">
        <v>-2275</v>
      </c>
      <c r="F24" s="637">
        <v>-22750</v>
      </c>
      <c r="G24" s="637">
        <v>-22792.87</v>
      </c>
      <c r="H24" s="637">
        <v>-42.87</v>
      </c>
      <c r="I24" s="637">
        <v>-0.18808513364047599</v>
      </c>
      <c r="J24" s="637">
        <v>-27400</v>
      </c>
      <c r="N24" s="656" t="s">
        <v>1811</v>
      </c>
      <c r="O24" s="637">
        <v>2066999.92</v>
      </c>
      <c r="P24" s="637">
        <v>3405600</v>
      </c>
      <c r="Q24" s="637">
        <v>3254288.63</v>
      </c>
      <c r="R24" s="637">
        <v>262067.07</v>
      </c>
      <c r="S24" s="637">
        <v>2677276.5299999998</v>
      </c>
      <c r="T24" s="637">
        <v>2737986.72</v>
      </c>
      <c r="U24" s="637">
        <v>60710.19</v>
      </c>
      <c r="V24" s="637">
        <v>2.21732960048835</v>
      </c>
      <c r="W24" s="637">
        <v>3254288.63</v>
      </c>
    </row>
    <row r="25" spans="1:23" x14ac:dyDescent="0.2">
      <c r="A25" s="656" t="s">
        <v>1812</v>
      </c>
      <c r="B25" s="637">
        <v>-349166.03</v>
      </c>
      <c r="C25" s="637"/>
      <c r="D25" s="637"/>
      <c r="E25" s="637"/>
      <c r="F25" s="637"/>
      <c r="G25" s="637"/>
      <c r="H25" s="637"/>
      <c r="I25" s="637"/>
      <c r="J25" s="637"/>
      <c r="N25" s="656" t="s">
        <v>1812</v>
      </c>
      <c r="O25" s="637">
        <v>6416236.9900000002</v>
      </c>
      <c r="P25" s="637">
        <v>7182200</v>
      </c>
      <c r="Q25" s="637">
        <v>7063100</v>
      </c>
      <c r="R25" s="637">
        <v>483164.05</v>
      </c>
      <c r="S25" s="637">
        <v>5892633.2000000002</v>
      </c>
      <c r="T25" s="637">
        <v>5762740.6399999997</v>
      </c>
      <c r="U25" s="637">
        <v>-129892.56</v>
      </c>
      <c r="V25" s="637">
        <v>-2.2540066977576099</v>
      </c>
      <c r="W25" s="637">
        <v>7063100</v>
      </c>
    </row>
    <row r="26" spans="1:23" x14ac:dyDescent="0.2">
      <c r="A26" s="639" t="s">
        <v>1813</v>
      </c>
      <c r="B26" s="637">
        <v>-23483218.690000001</v>
      </c>
      <c r="C26" s="637">
        <v>-22240100</v>
      </c>
      <c r="D26" s="637">
        <v>-18465700</v>
      </c>
      <c r="E26" s="637">
        <v>-2348593.64</v>
      </c>
      <c r="F26" s="637">
        <v>-15960736.310000001</v>
      </c>
      <c r="G26" s="637">
        <v>-15238895.42</v>
      </c>
      <c r="H26" s="637">
        <v>721840.89</v>
      </c>
      <c r="I26" s="637">
        <v>4.7368321003937996</v>
      </c>
      <c r="J26" s="637">
        <v>-18465700</v>
      </c>
      <c r="N26" s="639" t="s">
        <v>1813</v>
      </c>
      <c r="O26" s="637">
        <v>146125931.03</v>
      </c>
      <c r="P26" s="637">
        <v>161604300</v>
      </c>
      <c r="Q26" s="637">
        <v>173550876.19999999</v>
      </c>
      <c r="R26" s="637">
        <v>10090970.029999999</v>
      </c>
      <c r="S26" s="637">
        <v>105944499.79000001</v>
      </c>
      <c r="T26" s="637">
        <v>125435111.45999999</v>
      </c>
      <c r="U26" s="637">
        <v>19490611.670000002</v>
      </c>
      <c r="V26" s="637">
        <v>36.296036906023303</v>
      </c>
      <c r="W26" s="637">
        <v>173550876.19999999</v>
      </c>
    </row>
    <row r="27" spans="1:23" x14ac:dyDescent="0.2">
      <c r="A27" s="656" t="s">
        <v>1814</v>
      </c>
      <c r="B27" s="637">
        <v>-852769.74</v>
      </c>
      <c r="C27" s="637">
        <v>-427600</v>
      </c>
      <c r="D27" s="637">
        <v>-427600</v>
      </c>
      <c r="E27" s="637">
        <v>-35633.33</v>
      </c>
      <c r="F27" s="637">
        <v>-356333.3</v>
      </c>
      <c r="G27" s="637">
        <v>-356333.33</v>
      </c>
      <c r="H27" s="637">
        <v>-0.03</v>
      </c>
      <c r="I27" s="637">
        <v>-8.4190833341354807E-6</v>
      </c>
      <c r="J27" s="637">
        <v>-427600</v>
      </c>
      <c r="N27" s="656" t="s">
        <v>1814</v>
      </c>
      <c r="O27" s="637">
        <v>38461200.210000001</v>
      </c>
      <c r="P27" s="637">
        <v>37445300</v>
      </c>
      <c r="Q27" s="637">
        <v>46012294.75</v>
      </c>
      <c r="R27" s="637">
        <v>2614565.98</v>
      </c>
      <c r="S27" s="637">
        <v>31382744.379999999</v>
      </c>
      <c r="T27" s="637">
        <v>41903366.530000001</v>
      </c>
      <c r="U27" s="637">
        <v>10520622.15</v>
      </c>
      <c r="V27" s="637">
        <v>25.106866157085399</v>
      </c>
      <c r="W27" s="637">
        <v>46012294.75</v>
      </c>
    </row>
    <row r="28" spans="1:23" x14ac:dyDescent="0.2">
      <c r="A28" s="656" t="s">
        <v>1815</v>
      </c>
      <c r="B28" s="637">
        <v>-9420514.2599999998</v>
      </c>
      <c r="C28" s="637">
        <v>-9429000</v>
      </c>
      <c r="D28" s="637">
        <v>-5654500</v>
      </c>
      <c r="E28" s="637">
        <v>-399719.63</v>
      </c>
      <c r="F28" s="637">
        <v>-3710998.42</v>
      </c>
      <c r="G28" s="637">
        <v>-3939284.49</v>
      </c>
      <c r="H28" s="637">
        <v>-228286.07</v>
      </c>
      <c r="I28" s="637">
        <v>-5.7951150920811001</v>
      </c>
      <c r="J28" s="637">
        <v>-5654500</v>
      </c>
      <c r="N28" s="656" t="s">
        <v>1815</v>
      </c>
      <c r="O28" s="637">
        <v>85378453.269999996</v>
      </c>
      <c r="P28" s="637">
        <v>100977300</v>
      </c>
      <c r="Q28" s="637">
        <v>105558232.31</v>
      </c>
      <c r="R28" s="637">
        <v>5703085.6900000004</v>
      </c>
      <c r="S28" s="637">
        <v>57131588.68</v>
      </c>
      <c r="T28" s="637">
        <v>65899332.359999999</v>
      </c>
      <c r="U28" s="637">
        <v>8767743.6799999997</v>
      </c>
      <c r="V28" s="637">
        <v>13.304753426184799</v>
      </c>
      <c r="W28" s="637">
        <v>105558232.31</v>
      </c>
    </row>
    <row r="29" spans="1:23" x14ac:dyDescent="0.2">
      <c r="A29" s="656" t="s">
        <v>1816</v>
      </c>
      <c r="B29" s="637">
        <v>-13209934.689999999</v>
      </c>
      <c r="C29" s="637">
        <v>-12383500</v>
      </c>
      <c r="D29" s="637">
        <v>-12383600</v>
      </c>
      <c r="E29" s="637">
        <v>-1913240.68</v>
      </c>
      <c r="F29" s="637">
        <v>-11893404.59</v>
      </c>
      <c r="G29" s="637">
        <v>-10943277.6</v>
      </c>
      <c r="H29" s="637">
        <v>950126.99</v>
      </c>
      <c r="I29" s="637">
        <v>8.6822890246337199</v>
      </c>
      <c r="J29" s="637">
        <v>-12383600</v>
      </c>
      <c r="N29" s="656" t="s">
        <v>1816</v>
      </c>
      <c r="O29" s="637">
        <v>21367645.640000001</v>
      </c>
      <c r="P29" s="637">
        <v>22145100</v>
      </c>
      <c r="Q29" s="637">
        <v>20943749.140000001</v>
      </c>
      <c r="R29" s="637">
        <v>1700451.69</v>
      </c>
      <c r="S29" s="637">
        <v>16862900.030000001</v>
      </c>
      <c r="T29" s="637">
        <v>17083845.879999999</v>
      </c>
      <c r="U29" s="637">
        <v>220945.85</v>
      </c>
      <c r="V29" s="637">
        <v>1.2933027583599299</v>
      </c>
      <c r="W29" s="637">
        <v>20943749.140000001</v>
      </c>
    </row>
    <row r="30" spans="1:23" x14ac:dyDescent="0.2">
      <c r="A30" s="656" t="s">
        <v>1817</v>
      </c>
      <c r="B30" s="637"/>
      <c r="C30" s="637"/>
      <c r="D30" s="637"/>
      <c r="E30" s="637"/>
      <c r="F30" s="637"/>
      <c r="G30" s="637"/>
      <c r="H30" s="637"/>
      <c r="I30" s="637"/>
      <c r="J30" s="637"/>
      <c r="N30" s="656" t="s">
        <v>1817</v>
      </c>
      <c r="O30" s="637">
        <v>918631.91</v>
      </c>
      <c r="P30" s="637">
        <v>1036600</v>
      </c>
      <c r="Q30" s="637">
        <v>1036600</v>
      </c>
      <c r="R30" s="637">
        <v>72866.67</v>
      </c>
      <c r="S30" s="637">
        <v>567266.69999999995</v>
      </c>
      <c r="T30" s="637">
        <v>548566.68999999994</v>
      </c>
      <c r="U30" s="637">
        <v>-18700.009999999998</v>
      </c>
      <c r="V30" s="637">
        <v>-3.4088854356067402</v>
      </c>
      <c r="W30" s="637">
        <v>1036600</v>
      </c>
    </row>
    <row r="31" spans="1:23" x14ac:dyDescent="0.2">
      <c r="A31" s="639" t="s">
        <v>1818</v>
      </c>
      <c r="B31" s="637">
        <v>-43101543.920000002</v>
      </c>
      <c r="C31" s="637">
        <v>-29644200</v>
      </c>
      <c r="D31" s="637">
        <v>-41395700</v>
      </c>
      <c r="E31" s="637">
        <v>-14916203.85</v>
      </c>
      <c r="F31" s="637">
        <v>-58016183.060000002</v>
      </c>
      <c r="G31" s="637">
        <v>-43335672.159999996</v>
      </c>
      <c r="H31" s="637">
        <v>14680510.9</v>
      </c>
      <c r="I31" s="637">
        <v>33.876273675409898</v>
      </c>
      <c r="J31" s="637">
        <v>-41395700</v>
      </c>
      <c r="N31" s="639" t="s">
        <v>1818</v>
      </c>
      <c r="O31" s="637">
        <v>311150226.17000002</v>
      </c>
      <c r="P31" s="637">
        <v>336716100</v>
      </c>
      <c r="Q31" s="637">
        <v>338293324.87</v>
      </c>
      <c r="R31" s="637">
        <v>27511510.890000001</v>
      </c>
      <c r="S31" s="637">
        <v>270148695.22000003</v>
      </c>
      <c r="T31" s="637">
        <v>272565050.66000003</v>
      </c>
      <c r="U31" s="637">
        <v>2416355.44</v>
      </c>
      <c r="V31" s="637">
        <v>31.263247768779301</v>
      </c>
      <c r="W31" s="637">
        <v>338293324.87</v>
      </c>
    </row>
    <row r="32" spans="1:23" x14ac:dyDescent="0.2">
      <c r="A32" s="656" t="s">
        <v>1819</v>
      </c>
      <c r="B32" s="637">
        <v>-761756.9</v>
      </c>
      <c r="C32" s="637">
        <v>-1001800</v>
      </c>
      <c r="D32" s="637">
        <v>-851900</v>
      </c>
      <c r="E32" s="637">
        <v>-46616.61</v>
      </c>
      <c r="F32" s="637">
        <v>-541297.96</v>
      </c>
      <c r="G32" s="637">
        <v>-574185.29</v>
      </c>
      <c r="H32" s="637">
        <v>-32887.33</v>
      </c>
      <c r="I32" s="637">
        <v>-5.7276510862895798</v>
      </c>
      <c r="J32" s="637">
        <v>-851900</v>
      </c>
      <c r="N32" s="656" t="s">
        <v>1819</v>
      </c>
      <c r="O32" s="637">
        <v>14941419.48</v>
      </c>
      <c r="P32" s="637">
        <v>16126700</v>
      </c>
      <c r="Q32" s="637">
        <v>16901043.359999999</v>
      </c>
      <c r="R32" s="637">
        <v>1420681.96</v>
      </c>
      <c r="S32" s="637">
        <v>12998328.039999999</v>
      </c>
      <c r="T32" s="637">
        <v>13370873.5</v>
      </c>
      <c r="U32" s="637">
        <v>372545.46</v>
      </c>
      <c r="V32" s="637">
        <v>2.7862462388863398</v>
      </c>
      <c r="W32" s="637">
        <v>16901043.359999999</v>
      </c>
    </row>
    <row r="33" spans="1:23" x14ac:dyDescent="0.2">
      <c r="A33" s="656" t="s">
        <v>1820</v>
      </c>
      <c r="B33" s="637">
        <v>-1463836.82</v>
      </c>
      <c r="C33" s="637">
        <v>-1172300</v>
      </c>
      <c r="D33" s="637">
        <v>-1172300</v>
      </c>
      <c r="E33" s="637">
        <v>-109314.76</v>
      </c>
      <c r="F33" s="637">
        <v>-1056908.3500000001</v>
      </c>
      <c r="G33" s="637">
        <v>-997147.75</v>
      </c>
      <c r="H33" s="637">
        <v>59760.6</v>
      </c>
      <c r="I33" s="637">
        <v>5.9931539734206902</v>
      </c>
      <c r="J33" s="637">
        <v>-1172300</v>
      </c>
      <c r="N33" s="656" t="s">
        <v>1820</v>
      </c>
      <c r="O33" s="637">
        <v>41515065.18</v>
      </c>
      <c r="P33" s="637">
        <v>41739700</v>
      </c>
      <c r="Q33" s="637">
        <v>40401475.229999997</v>
      </c>
      <c r="R33" s="637">
        <v>4906225.16</v>
      </c>
      <c r="S33" s="637">
        <v>35492198.310000002</v>
      </c>
      <c r="T33" s="637">
        <v>35143439.939999998</v>
      </c>
      <c r="U33" s="637">
        <v>-348758.37</v>
      </c>
      <c r="V33" s="637">
        <v>-0.99238540847290801</v>
      </c>
      <c r="W33" s="637">
        <v>40401475.229999997</v>
      </c>
    </row>
    <row r="34" spans="1:23" x14ac:dyDescent="0.2">
      <c r="A34" s="656" t="s">
        <v>1821</v>
      </c>
      <c r="B34" s="637">
        <v>-11532941.470000001</v>
      </c>
      <c r="C34" s="637">
        <v>-11740700</v>
      </c>
      <c r="D34" s="637">
        <v>-11841600</v>
      </c>
      <c r="E34" s="637">
        <v>-230803.25</v>
      </c>
      <c r="F34" s="637">
        <v>-11434124.619999999</v>
      </c>
      <c r="G34" s="637">
        <v>-11203741.43</v>
      </c>
      <c r="H34" s="637">
        <v>230383.19</v>
      </c>
      <c r="I34" s="637">
        <v>2.0563058460373602</v>
      </c>
      <c r="J34" s="637">
        <v>-11841600</v>
      </c>
      <c r="N34" s="656" t="s">
        <v>1821</v>
      </c>
      <c r="O34" s="637">
        <v>38893010.890000001</v>
      </c>
      <c r="P34" s="637">
        <v>40346800</v>
      </c>
      <c r="Q34" s="637">
        <v>40587794.399999999</v>
      </c>
      <c r="R34" s="637">
        <v>3253587.52</v>
      </c>
      <c r="S34" s="637">
        <v>33864468.950000003</v>
      </c>
      <c r="T34" s="637">
        <v>33679601.75</v>
      </c>
      <c r="U34" s="637">
        <v>-184867.20000000001</v>
      </c>
      <c r="V34" s="637">
        <v>-0.54889960211598998</v>
      </c>
      <c r="W34" s="637">
        <v>40587794.399999999</v>
      </c>
    </row>
    <row r="35" spans="1:23" x14ac:dyDescent="0.2">
      <c r="A35" s="656" t="s">
        <v>1822</v>
      </c>
      <c r="B35" s="637">
        <v>-2117603.2200000002</v>
      </c>
      <c r="C35" s="637">
        <v>-2124300</v>
      </c>
      <c r="D35" s="637">
        <v>-2124300</v>
      </c>
      <c r="E35" s="637">
        <v>-157930.34</v>
      </c>
      <c r="F35" s="637">
        <v>-1656407.81</v>
      </c>
      <c r="G35" s="637">
        <v>-1178336.3</v>
      </c>
      <c r="H35" s="637">
        <v>478071.51</v>
      </c>
      <c r="I35" s="637">
        <v>40.571737457294702</v>
      </c>
      <c r="J35" s="637">
        <v>-2124300</v>
      </c>
      <c r="N35" s="656" t="s">
        <v>1822</v>
      </c>
      <c r="O35" s="637">
        <v>3133244.95</v>
      </c>
      <c r="P35" s="637">
        <v>3218300</v>
      </c>
      <c r="Q35" s="637">
        <v>3417700</v>
      </c>
      <c r="R35" s="637">
        <v>265236.71000000002</v>
      </c>
      <c r="S35" s="637">
        <v>2793557.03</v>
      </c>
      <c r="T35" s="637">
        <v>2813554.23</v>
      </c>
      <c r="U35" s="637">
        <v>19997.2</v>
      </c>
      <c r="V35" s="637">
        <v>0.71074514174194503</v>
      </c>
      <c r="W35" s="637">
        <v>3417700</v>
      </c>
    </row>
    <row r="36" spans="1:23" x14ac:dyDescent="0.2">
      <c r="A36" s="656" t="s">
        <v>1823</v>
      </c>
      <c r="B36" s="637">
        <v>-351028.91</v>
      </c>
      <c r="C36" s="637">
        <v>-317900</v>
      </c>
      <c r="D36" s="637">
        <v>-318000</v>
      </c>
      <c r="E36" s="637">
        <v>-3700</v>
      </c>
      <c r="F36" s="637">
        <v>-38053.78</v>
      </c>
      <c r="G36" s="637">
        <v>-38801</v>
      </c>
      <c r="H36" s="637">
        <v>-747.22</v>
      </c>
      <c r="I36" s="637">
        <v>-1.9257751088889501</v>
      </c>
      <c r="J36" s="637">
        <v>-318000</v>
      </c>
      <c r="N36" s="656" t="s">
        <v>1823</v>
      </c>
      <c r="O36" s="637">
        <v>4092835.85</v>
      </c>
      <c r="P36" s="637">
        <v>4511600</v>
      </c>
      <c r="Q36" s="637">
        <v>4337755.6100000003</v>
      </c>
      <c r="R36" s="637">
        <v>407397.74</v>
      </c>
      <c r="S36" s="637">
        <v>3657126.46</v>
      </c>
      <c r="T36" s="637">
        <v>3655617.12</v>
      </c>
      <c r="U36" s="637">
        <v>-1509.34</v>
      </c>
      <c r="V36" s="637">
        <v>-4.1288240821019E-2</v>
      </c>
      <c r="W36" s="637">
        <v>4337755.6100000003</v>
      </c>
    </row>
    <row r="37" spans="1:23" x14ac:dyDescent="0.2">
      <c r="A37" s="656" t="s">
        <v>1824</v>
      </c>
      <c r="B37" s="637">
        <v>-22057.37</v>
      </c>
      <c r="C37" s="637">
        <v>-10200</v>
      </c>
      <c r="D37" s="637">
        <v>-10200</v>
      </c>
      <c r="E37" s="637">
        <v>-850</v>
      </c>
      <c r="F37" s="637">
        <v>-8500</v>
      </c>
      <c r="G37" s="637">
        <v>-8500</v>
      </c>
      <c r="H37" s="637">
        <v>0</v>
      </c>
      <c r="I37" s="637">
        <v>0</v>
      </c>
      <c r="J37" s="637">
        <v>-10200</v>
      </c>
      <c r="N37" s="656" t="s">
        <v>1824</v>
      </c>
      <c r="O37" s="637">
        <v>4072535.48</v>
      </c>
      <c r="P37" s="637">
        <v>7452800</v>
      </c>
      <c r="Q37" s="637">
        <v>6766700</v>
      </c>
      <c r="R37" s="637">
        <v>335076.7</v>
      </c>
      <c r="S37" s="637">
        <v>3841750.75</v>
      </c>
      <c r="T37" s="637">
        <v>4843501.1500000004</v>
      </c>
      <c r="U37" s="637">
        <v>1001750.4</v>
      </c>
      <c r="V37" s="637">
        <v>20.682361146956701</v>
      </c>
      <c r="W37" s="637">
        <v>6766700</v>
      </c>
    </row>
    <row r="38" spans="1:23" x14ac:dyDescent="0.2">
      <c r="A38" s="656" t="s">
        <v>1825</v>
      </c>
      <c r="B38" s="637">
        <v>-380735.94</v>
      </c>
      <c r="C38" s="637">
        <v>-321200</v>
      </c>
      <c r="D38" s="637">
        <v>-321200</v>
      </c>
      <c r="E38" s="637">
        <v>-20475</v>
      </c>
      <c r="F38" s="637">
        <v>-204750</v>
      </c>
      <c r="G38" s="637">
        <v>-204750</v>
      </c>
      <c r="H38" s="637">
        <v>0</v>
      </c>
      <c r="I38" s="637">
        <v>0</v>
      </c>
      <c r="J38" s="637">
        <v>-321200</v>
      </c>
      <c r="N38" s="656" t="s">
        <v>1825</v>
      </c>
      <c r="O38" s="637">
        <v>20634040.550000001</v>
      </c>
      <c r="P38" s="637">
        <v>24480800</v>
      </c>
      <c r="Q38" s="637">
        <v>26474544.760000002</v>
      </c>
      <c r="R38" s="637">
        <v>1297048.69</v>
      </c>
      <c r="S38" s="637">
        <v>19582561.98</v>
      </c>
      <c r="T38" s="637">
        <v>20249733.300000001</v>
      </c>
      <c r="U38" s="637">
        <v>667171.31999999995</v>
      </c>
      <c r="V38" s="637">
        <v>3.29471657782278</v>
      </c>
      <c r="W38" s="637">
        <v>26474544.760000002</v>
      </c>
    </row>
    <row r="39" spans="1:23" x14ac:dyDescent="0.2">
      <c r="A39" s="656" t="s">
        <v>1826</v>
      </c>
      <c r="B39" s="637">
        <v>-13644179.029999999</v>
      </c>
      <c r="C39" s="637">
        <v>-9540300</v>
      </c>
      <c r="D39" s="637">
        <v>-9540400</v>
      </c>
      <c r="E39" s="637">
        <v>-875939.86</v>
      </c>
      <c r="F39" s="637">
        <v>-6763103.8200000003</v>
      </c>
      <c r="G39" s="637">
        <v>-6356883.71</v>
      </c>
      <c r="H39" s="637">
        <v>406220.11</v>
      </c>
      <c r="I39" s="637">
        <v>6.3902397547555596</v>
      </c>
      <c r="J39" s="637">
        <v>-9540400</v>
      </c>
      <c r="N39" s="656" t="s">
        <v>1826</v>
      </c>
      <c r="O39" s="637">
        <v>100147726.72</v>
      </c>
      <c r="P39" s="637">
        <v>110015500</v>
      </c>
      <c r="Q39" s="637">
        <v>105029036.72</v>
      </c>
      <c r="R39" s="637">
        <v>8111094.96</v>
      </c>
      <c r="S39" s="637">
        <v>85014537.829999998</v>
      </c>
      <c r="T39" s="637">
        <v>85121976.409999996</v>
      </c>
      <c r="U39" s="637">
        <v>107438.58</v>
      </c>
      <c r="V39" s="637">
        <v>0.12621720562796801</v>
      </c>
      <c r="W39" s="637">
        <v>105029036.72</v>
      </c>
    </row>
    <row r="40" spans="1:23" x14ac:dyDescent="0.2">
      <c r="A40" s="656" t="s">
        <v>1827</v>
      </c>
      <c r="B40" s="637"/>
      <c r="C40" s="637">
        <v>-250000</v>
      </c>
      <c r="D40" s="637">
        <v>-250000</v>
      </c>
      <c r="E40" s="637"/>
      <c r="F40" s="637"/>
      <c r="G40" s="637">
        <v>-60000</v>
      </c>
      <c r="H40" s="637">
        <v>-60000</v>
      </c>
      <c r="I40" s="637">
        <v>-100</v>
      </c>
      <c r="J40" s="637">
        <v>-250000</v>
      </c>
      <c r="N40" s="656" t="s">
        <v>1827</v>
      </c>
      <c r="O40" s="637">
        <v>1740.01</v>
      </c>
      <c r="P40" s="637"/>
      <c r="Q40" s="637"/>
      <c r="R40" s="637"/>
      <c r="S40" s="637"/>
      <c r="T40" s="637"/>
      <c r="U40" s="637"/>
      <c r="V40" s="637"/>
      <c r="W40" s="637"/>
    </row>
    <row r="41" spans="1:23" x14ac:dyDescent="0.2">
      <c r="A41" s="656" t="s">
        <v>1828</v>
      </c>
      <c r="B41" s="637">
        <v>-224703.22</v>
      </c>
      <c r="C41" s="637">
        <v>-95500</v>
      </c>
      <c r="D41" s="637">
        <v>-95700</v>
      </c>
      <c r="E41" s="637">
        <v>-7958.34</v>
      </c>
      <c r="F41" s="637">
        <v>-79583.399999999994</v>
      </c>
      <c r="G41" s="637">
        <v>-79669.08</v>
      </c>
      <c r="H41" s="637">
        <v>-85.68</v>
      </c>
      <c r="I41" s="637">
        <v>-0.107544859310538</v>
      </c>
      <c r="J41" s="637">
        <v>-95700</v>
      </c>
      <c r="N41" s="656" t="s">
        <v>1828</v>
      </c>
      <c r="O41" s="637">
        <v>11028606.52</v>
      </c>
      <c r="P41" s="637">
        <v>11972800</v>
      </c>
      <c r="Q41" s="637">
        <v>10575210.07</v>
      </c>
      <c r="R41" s="637">
        <v>832192.4</v>
      </c>
      <c r="S41" s="637">
        <v>8169107.9000000004</v>
      </c>
      <c r="T41" s="637">
        <v>8471264.0999999996</v>
      </c>
      <c r="U41" s="637">
        <v>302156.2</v>
      </c>
      <c r="V41" s="637">
        <v>3.5668372091008198</v>
      </c>
      <c r="W41" s="637">
        <v>10575210.07</v>
      </c>
    </row>
    <row r="42" spans="1:23" x14ac:dyDescent="0.2">
      <c r="A42" s="656" t="s">
        <v>1829</v>
      </c>
      <c r="B42" s="637">
        <v>-10494648.93</v>
      </c>
      <c r="C42" s="637">
        <v>-1139100</v>
      </c>
      <c r="D42" s="637">
        <v>-1139200</v>
      </c>
      <c r="E42" s="637">
        <v>-62393.62</v>
      </c>
      <c r="F42" s="637">
        <v>-2042630.24</v>
      </c>
      <c r="G42" s="637">
        <v>-1826716.57</v>
      </c>
      <c r="H42" s="637">
        <v>215913.67</v>
      </c>
      <c r="I42" s="637">
        <v>11.819768515046601</v>
      </c>
      <c r="J42" s="637">
        <v>-1139200</v>
      </c>
      <c r="N42" s="656" t="s">
        <v>1829</v>
      </c>
      <c r="O42" s="637">
        <v>31314637.190000001</v>
      </c>
      <c r="P42" s="637">
        <v>34469200</v>
      </c>
      <c r="Q42" s="637">
        <v>41127892.07</v>
      </c>
      <c r="R42" s="637">
        <v>4047182.64</v>
      </c>
      <c r="S42" s="637">
        <v>31919231.77</v>
      </c>
      <c r="T42" s="637">
        <v>32423598.170000002</v>
      </c>
      <c r="U42" s="637">
        <v>504366.4</v>
      </c>
      <c r="V42" s="637">
        <v>1.5555534501617001</v>
      </c>
      <c r="W42" s="637">
        <v>41127892.07</v>
      </c>
    </row>
    <row r="43" spans="1:23" x14ac:dyDescent="0.2">
      <c r="A43" s="656" t="s">
        <v>1830</v>
      </c>
      <c r="B43" s="637">
        <v>-2108052.11</v>
      </c>
      <c r="C43" s="637">
        <v>-1930900</v>
      </c>
      <c r="D43" s="637">
        <v>-1930900</v>
      </c>
      <c r="E43" s="637">
        <v>-155171.98000000001</v>
      </c>
      <c r="F43" s="637">
        <v>-1018752.45</v>
      </c>
      <c r="G43" s="637">
        <v>-1042087.38</v>
      </c>
      <c r="H43" s="637">
        <v>-23334.93</v>
      </c>
      <c r="I43" s="637">
        <v>-2.23924888141338</v>
      </c>
      <c r="J43" s="637">
        <v>-1930900</v>
      </c>
      <c r="N43" s="656" t="s">
        <v>1830</v>
      </c>
      <c r="O43" s="637">
        <v>29704346.59</v>
      </c>
      <c r="P43" s="637">
        <v>30031900</v>
      </c>
      <c r="Q43" s="637">
        <v>30878340</v>
      </c>
      <c r="R43" s="637">
        <v>1668663.94</v>
      </c>
      <c r="S43" s="637">
        <v>23042505.289999999</v>
      </c>
      <c r="T43" s="637">
        <v>22979646.25</v>
      </c>
      <c r="U43" s="637">
        <v>-62859.040000000001</v>
      </c>
      <c r="V43" s="637">
        <v>-0.27354224393249699</v>
      </c>
      <c r="W43" s="637">
        <v>30878340</v>
      </c>
    </row>
    <row r="44" spans="1:23" x14ac:dyDescent="0.2">
      <c r="A44" s="656" t="s">
        <v>1831</v>
      </c>
      <c r="B44" s="637"/>
      <c r="C44" s="637"/>
      <c r="D44" s="637">
        <v>-11800000</v>
      </c>
      <c r="E44" s="637">
        <v>-13245050.09</v>
      </c>
      <c r="F44" s="637">
        <v>-33172070.629999999</v>
      </c>
      <c r="G44" s="637">
        <v>-19764853.649999999</v>
      </c>
      <c r="H44" s="637">
        <v>13407216.98</v>
      </c>
      <c r="I44" s="637">
        <v>67.833626382556105</v>
      </c>
      <c r="J44" s="637">
        <v>-11800000</v>
      </c>
      <c r="N44" s="656" t="s">
        <v>1831</v>
      </c>
      <c r="O44" s="637">
        <v>11671016.76</v>
      </c>
      <c r="P44" s="637">
        <v>12350000</v>
      </c>
      <c r="Q44" s="637">
        <v>11795832.65</v>
      </c>
      <c r="R44" s="637">
        <v>967122.47</v>
      </c>
      <c r="S44" s="637">
        <v>9773320.9100000001</v>
      </c>
      <c r="T44" s="637">
        <v>9812244.7400000002</v>
      </c>
      <c r="U44" s="637">
        <v>38923.83</v>
      </c>
      <c r="V44" s="637">
        <v>0.39668629382352699</v>
      </c>
      <c r="W44" s="637">
        <v>11795832.65</v>
      </c>
    </row>
    <row r="45" spans="1:23" x14ac:dyDescent="0.2">
      <c r="A45" s="639" t="s">
        <v>1832</v>
      </c>
      <c r="B45" s="637">
        <v>-7174988.7000000002</v>
      </c>
      <c r="C45" s="637">
        <v>-11624500</v>
      </c>
      <c r="D45" s="637">
        <v>-7624500</v>
      </c>
      <c r="E45" s="637">
        <v>-836249.74</v>
      </c>
      <c r="F45" s="637">
        <v>-7331718.2999999998</v>
      </c>
      <c r="G45" s="637">
        <v>-9311029.8800000008</v>
      </c>
      <c r="H45" s="637">
        <v>-1979311.58</v>
      </c>
      <c r="I45" s="637">
        <v>-21.257708390041198</v>
      </c>
      <c r="J45" s="637">
        <v>-7624500</v>
      </c>
      <c r="N45" s="639" t="s">
        <v>1832</v>
      </c>
      <c r="O45" s="637">
        <v>46631286.149999999</v>
      </c>
      <c r="P45" s="637">
        <v>42498700</v>
      </c>
      <c r="Q45" s="637">
        <v>46279005.740000002</v>
      </c>
      <c r="R45" s="637">
        <v>3429030.35</v>
      </c>
      <c r="S45" s="637">
        <v>36874533.270000003</v>
      </c>
      <c r="T45" s="637">
        <v>34737055.520000003</v>
      </c>
      <c r="U45" s="637">
        <v>-2137477.75</v>
      </c>
      <c r="V45" s="637">
        <v>-55.926681174874503</v>
      </c>
      <c r="W45" s="637">
        <v>46279005.740000002</v>
      </c>
    </row>
    <row r="46" spans="1:23" x14ac:dyDescent="0.2">
      <c r="A46" s="656" t="s">
        <v>1833</v>
      </c>
      <c r="B46" s="637">
        <v>-602746.27</v>
      </c>
      <c r="C46" s="637">
        <v>-1475700</v>
      </c>
      <c r="D46" s="637">
        <v>-1475700</v>
      </c>
      <c r="E46" s="637">
        <v>-12508.33</v>
      </c>
      <c r="F46" s="637">
        <v>-1825479.13</v>
      </c>
      <c r="G46" s="637">
        <v>-1966779.16</v>
      </c>
      <c r="H46" s="637">
        <v>-141300.03</v>
      </c>
      <c r="I46" s="637">
        <v>-7.1843363440967103</v>
      </c>
      <c r="J46" s="637">
        <v>-1475700</v>
      </c>
      <c r="N46" s="656" t="s">
        <v>1833</v>
      </c>
      <c r="O46" s="637">
        <v>18640615.140000001</v>
      </c>
      <c r="P46" s="637">
        <v>12806500</v>
      </c>
      <c r="Q46" s="637">
        <v>14296103.16</v>
      </c>
      <c r="R46" s="637">
        <v>1655119.11</v>
      </c>
      <c r="S46" s="637">
        <v>12241157.42</v>
      </c>
      <c r="T46" s="637">
        <v>8502581.5899999999</v>
      </c>
      <c r="U46" s="637">
        <v>-3738575.83</v>
      </c>
      <c r="V46" s="637">
        <v>-43.969890678814401</v>
      </c>
      <c r="W46" s="637">
        <v>14296103.16</v>
      </c>
    </row>
    <row r="47" spans="1:23" x14ac:dyDescent="0.2">
      <c r="A47" s="656" t="s">
        <v>1834</v>
      </c>
      <c r="B47" s="637">
        <v>-1099019.3400000001</v>
      </c>
      <c r="C47" s="637">
        <v>-532300</v>
      </c>
      <c r="D47" s="637">
        <v>-532300</v>
      </c>
      <c r="E47" s="637">
        <v>-44358.33</v>
      </c>
      <c r="F47" s="637">
        <v>-443583.3</v>
      </c>
      <c r="G47" s="637">
        <v>-443583.33</v>
      </c>
      <c r="H47" s="637">
        <v>-0.03</v>
      </c>
      <c r="I47" s="637">
        <v>-6.7631035638782902E-6</v>
      </c>
      <c r="J47" s="637">
        <v>-532300</v>
      </c>
      <c r="N47" s="656" t="s">
        <v>1834</v>
      </c>
      <c r="O47" s="637">
        <v>2952262.72</v>
      </c>
      <c r="P47" s="637">
        <v>1397200</v>
      </c>
      <c r="Q47" s="637">
        <v>1356912.04</v>
      </c>
      <c r="R47" s="637">
        <v>92105.18</v>
      </c>
      <c r="S47" s="637">
        <v>1231086.0900000001</v>
      </c>
      <c r="T47" s="637">
        <v>1033715.16</v>
      </c>
      <c r="U47" s="637">
        <v>-197370.93</v>
      </c>
      <c r="V47" s="637">
        <v>-19.093357400311302</v>
      </c>
      <c r="W47" s="637">
        <v>1356912.04</v>
      </c>
    </row>
    <row r="48" spans="1:23" x14ac:dyDescent="0.2">
      <c r="A48" s="656" t="s">
        <v>1835</v>
      </c>
      <c r="B48" s="637">
        <v>-5473223.0899999999</v>
      </c>
      <c r="C48" s="637">
        <v>-9616500</v>
      </c>
      <c r="D48" s="637">
        <v>-5616500</v>
      </c>
      <c r="E48" s="637">
        <v>-779383.08</v>
      </c>
      <c r="F48" s="637">
        <v>-5062655.87</v>
      </c>
      <c r="G48" s="637">
        <v>-6900667.3899999997</v>
      </c>
      <c r="H48" s="637">
        <v>-1838011.52</v>
      </c>
      <c r="I48" s="637">
        <v>-26.635271867522899</v>
      </c>
      <c r="J48" s="637">
        <v>-5616500</v>
      </c>
      <c r="N48" s="656" t="s">
        <v>1835</v>
      </c>
      <c r="O48" s="637">
        <v>25038408.289999999</v>
      </c>
      <c r="P48" s="637">
        <v>28295000</v>
      </c>
      <c r="Q48" s="637">
        <v>30625990.539999999</v>
      </c>
      <c r="R48" s="637">
        <v>1681806.06</v>
      </c>
      <c r="S48" s="637">
        <v>23402289.760000002</v>
      </c>
      <c r="T48" s="637">
        <v>25200758.77</v>
      </c>
      <c r="U48" s="637">
        <v>1798469.01</v>
      </c>
      <c r="V48" s="637">
        <v>7.1365669042511897</v>
      </c>
      <c r="W48" s="637">
        <v>30625990.539999999</v>
      </c>
    </row>
    <row r="49" spans="1:23" x14ac:dyDescent="0.2">
      <c r="A49" s="639" t="s">
        <v>1836</v>
      </c>
      <c r="B49" s="637">
        <v>-582966.48</v>
      </c>
      <c r="C49" s="637">
        <v>-813500</v>
      </c>
      <c r="D49" s="637">
        <v>-946200</v>
      </c>
      <c r="E49" s="637">
        <v>-122608.34</v>
      </c>
      <c r="F49" s="637">
        <v>-317083.40000000002</v>
      </c>
      <c r="G49" s="637">
        <v>-216169.08</v>
      </c>
      <c r="H49" s="637">
        <v>100914.32</v>
      </c>
      <c r="I49" s="637">
        <v>46.683050138345401</v>
      </c>
      <c r="J49" s="637">
        <v>-946200</v>
      </c>
      <c r="N49" s="639" t="s">
        <v>1836</v>
      </c>
      <c r="O49" s="637">
        <v>167713056.75</v>
      </c>
      <c r="P49" s="637">
        <v>53996500</v>
      </c>
      <c r="Q49" s="637">
        <v>179867034.83000001</v>
      </c>
      <c r="R49" s="637">
        <v>-1503286.33</v>
      </c>
      <c r="S49" s="637">
        <v>120925842.40000001</v>
      </c>
      <c r="T49" s="637">
        <v>134660898.18000001</v>
      </c>
      <c r="U49" s="637">
        <v>13735055.779999999</v>
      </c>
      <c r="V49" s="637">
        <v>10.199735755245401</v>
      </c>
      <c r="W49" s="637">
        <v>179867034.83000001</v>
      </c>
    </row>
    <row r="50" spans="1:23" x14ac:dyDescent="0.2">
      <c r="A50" s="656" t="s">
        <v>1837</v>
      </c>
      <c r="B50" s="637">
        <v>-582966.48</v>
      </c>
      <c r="C50" s="637">
        <v>-813500</v>
      </c>
      <c r="D50" s="637">
        <v>-946200</v>
      </c>
      <c r="E50" s="637">
        <v>-122608.34</v>
      </c>
      <c r="F50" s="637">
        <v>-317083.40000000002</v>
      </c>
      <c r="G50" s="637">
        <v>-216169.08</v>
      </c>
      <c r="H50" s="637">
        <v>100914.32</v>
      </c>
      <c r="I50" s="637">
        <v>46.683050138345401</v>
      </c>
      <c r="J50" s="637">
        <v>-946200</v>
      </c>
      <c r="N50" s="656" t="s">
        <v>1837</v>
      </c>
      <c r="O50" s="637">
        <v>167713056.75</v>
      </c>
      <c r="P50" s="637">
        <v>53996500</v>
      </c>
      <c r="Q50" s="637">
        <v>179867034.83000001</v>
      </c>
      <c r="R50" s="637">
        <v>-1503286.33</v>
      </c>
      <c r="S50" s="637">
        <v>120925842.40000001</v>
      </c>
      <c r="T50" s="637">
        <v>134660898.18000001</v>
      </c>
      <c r="U50" s="637">
        <v>13735055.779999999</v>
      </c>
      <c r="V50" s="637">
        <v>10.199735755245401</v>
      </c>
      <c r="W50" s="637">
        <v>179867034.83000001</v>
      </c>
    </row>
    <row r="51" spans="1:23" x14ac:dyDescent="0.2">
      <c r="A51" s="639" t="s">
        <v>1838</v>
      </c>
      <c r="B51" s="637">
        <v>-2878898.02</v>
      </c>
      <c r="C51" s="637">
        <v>-1586600</v>
      </c>
      <c r="D51" s="637">
        <v>-1584800</v>
      </c>
      <c r="E51" s="637">
        <v>-53465.47</v>
      </c>
      <c r="F51" s="637">
        <v>-1264381.74</v>
      </c>
      <c r="G51" s="637">
        <v>-1238030.6100000001</v>
      </c>
      <c r="H51" s="637">
        <v>26351.13</v>
      </c>
      <c r="I51" s="637">
        <v>2.1284716053991599</v>
      </c>
      <c r="J51" s="637">
        <v>-1584800</v>
      </c>
      <c r="N51" s="639" t="s">
        <v>1838</v>
      </c>
      <c r="O51" s="637">
        <v>5702685.8499999996</v>
      </c>
      <c r="P51" s="637">
        <v>12176800</v>
      </c>
      <c r="Q51" s="637">
        <v>10017209.060000001</v>
      </c>
      <c r="R51" s="637">
        <v>521747.7</v>
      </c>
      <c r="S51" s="637">
        <v>4354685.29</v>
      </c>
      <c r="T51" s="637">
        <v>5691365.3899999997</v>
      </c>
      <c r="U51" s="637">
        <v>1336680.1000000001</v>
      </c>
      <c r="V51" s="637">
        <v>174.1884560524</v>
      </c>
      <c r="W51" s="637">
        <v>10017209.060000001</v>
      </c>
    </row>
    <row r="52" spans="1:23" x14ac:dyDescent="0.2">
      <c r="A52" s="656" t="s">
        <v>1839</v>
      </c>
      <c r="B52" s="637">
        <v>-451376.95</v>
      </c>
      <c r="C52" s="637">
        <v>-204700</v>
      </c>
      <c r="D52" s="637">
        <v>-204700</v>
      </c>
      <c r="E52" s="637">
        <v>-17128.849999999999</v>
      </c>
      <c r="F52" s="637">
        <v>-170653.82</v>
      </c>
      <c r="G52" s="637">
        <v>-170583.33</v>
      </c>
      <c r="H52" s="637">
        <v>70.489999999999995</v>
      </c>
      <c r="I52" s="637">
        <v>4.1322912385401298E-2</v>
      </c>
      <c r="J52" s="637">
        <v>-204700</v>
      </c>
      <c r="N52" s="656" t="s">
        <v>1839</v>
      </c>
      <c r="O52" s="637">
        <v>-938609.53</v>
      </c>
      <c r="P52" s="637">
        <v>2703400</v>
      </c>
      <c r="Q52" s="637">
        <v>1278328.19</v>
      </c>
      <c r="R52" s="637">
        <v>98385.919999999998</v>
      </c>
      <c r="S52" s="637">
        <v>-33400.75</v>
      </c>
      <c r="T52" s="637">
        <v>416022.89</v>
      </c>
      <c r="U52" s="637">
        <v>449423.64</v>
      </c>
      <c r="V52" s="637">
        <v>108.028584677156</v>
      </c>
      <c r="W52" s="637">
        <v>1278328.19</v>
      </c>
    </row>
    <row r="53" spans="1:23" x14ac:dyDescent="0.2">
      <c r="A53" s="656" t="s">
        <v>1840</v>
      </c>
      <c r="B53" s="637">
        <v>-91229.49</v>
      </c>
      <c r="C53" s="637">
        <v>-27300</v>
      </c>
      <c r="D53" s="637">
        <v>-27400</v>
      </c>
      <c r="E53" s="637">
        <v>-2275</v>
      </c>
      <c r="F53" s="637">
        <v>-22750</v>
      </c>
      <c r="G53" s="637">
        <v>-22792.87</v>
      </c>
      <c r="H53" s="637">
        <v>-42.87</v>
      </c>
      <c r="I53" s="637">
        <v>-0.18808513364047599</v>
      </c>
      <c r="J53" s="637">
        <v>-27400</v>
      </c>
      <c r="N53" s="656" t="s">
        <v>1840</v>
      </c>
      <c r="O53" s="637">
        <v>3502082.12</v>
      </c>
      <c r="P53" s="637">
        <v>3336600</v>
      </c>
      <c r="Q53" s="637">
        <v>3118366.35</v>
      </c>
      <c r="R53" s="637">
        <v>221492.14</v>
      </c>
      <c r="S53" s="637">
        <v>2470937.2400000002</v>
      </c>
      <c r="T53" s="637">
        <v>2669611.2400000002</v>
      </c>
      <c r="U53" s="637">
        <v>198674</v>
      </c>
      <c r="V53" s="637">
        <v>7.4420573686227103</v>
      </c>
      <c r="W53" s="637">
        <v>3118366.35</v>
      </c>
    </row>
    <row r="54" spans="1:23" x14ac:dyDescent="0.2">
      <c r="A54" s="656" t="s">
        <v>1841</v>
      </c>
      <c r="B54" s="637">
        <v>-2080641.91</v>
      </c>
      <c r="C54" s="637">
        <v>-1185900</v>
      </c>
      <c r="D54" s="637">
        <v>-1186000</v>
      </c>
      <c r="E54" s="637">
        <v>-18200</v>
      </c>
      <c r="F54" s="637">
        <v>-922550.73</v>
      </c>
      <c r="G54" s="637">
        <v>-922593.6</v>
      </c>
      <c r="H54" s="637">
        <v>-42.87</v>
      </c>
      <c r="I54" s="637">
        <v>-4.6466830032204903E-3</v>
      </c>
      <c r="J54" s="637">
        <v>-1186000</v>
      </c>
      <c r="N54" s="656" t="s">
        <v>1841</v>
      </c>
      <c r="O54" s="637">
        <v>1692249.88</v>
      </c>
      <c r="P54" s="637">
        <v>3727900</v>
      </c>
      <c r="Q54" s="637">
        <v>3351661.77</v>
      </c>
      <c r="R54" s="637">
        <v>50991.73</v>
      </c>
      <c r="S54" s="637">
        <v>477976.97</v>
      </c>
      <c r="T54" s="637">
        <v>1175373.7</v>
      </c>
      <c r="U54" s="637">
        <v>697396.73</v>
      </c>
      <c r="V54" s="637">
        <v>59.334042441140198</v>
      </c>
      <c r="W54" s="637">
        <v>3351661.77</v>
      </c>
    </row>
    <row r="55" spans="1:23" x14ac:dyDescent="0.2">
      <c r="A55" s="656" t="s">
        <v>1842</v>
      </c>
      <c r="B55" s="637">
        <v>-255649.67</v>
      </c>
      <c r="C55" s="637">
        <v>-168700</v>
      </c>
      <c r="D55" s="637">
        <v>-166700</v>
      </c>
      <c r="E55" s="637">
        <v>-15861.62</v>
      </c>
      <c r="F55" s="637">
        <v>-148427.19</v>
      </c>
      <c r="G55" s="637">
        <v>-122060.81</v>
      </c>
      <c r="H55" s="637">
        <v>26366.38</v>
      </c>
      <c r="I55" s="637">
        <v>21.601020016170601</v>
      </c>
      <c r="J55" s="637">
        <v>-166700</v>
      </c>
      <c r="N55" s="656" t="s">
        <v>1842</v>
      </c>
      <c r="O55" s="637">
        <v>1446963.38</v>
      </c>
      <c r="P55" s="637">
        <v>2408900</v>
      </c>
      <c r="Q55" s="637">
        <v>2268852.75</v>
      </c>
      <c r="R55" s="637">
        <v>150877.91</v>
      </c>
      <c r="S55" s="637">
        <v>1439171.83</v>
      </c>
      <c r="T55" s="637">
        <v>1430357.56</v>
      </c>
      <c r="U55" s="637">
        <v>-8814.27</v>
      </c>
      <c r="V55" s="637">
        <v>-0.61622843451815001</v>
      </c>
      <c r="W55" s="637">
        <v>2268852.75</v>
      </c>
    </row>
    <row r="56" spans="1:23" x14ac:dyDescent="0.2">
      <c r="A56" s="639" t="s">
        <v>1843</v>
      </c>
      <c r="B56" s="637">
        <v>-940636940.83000004</v>
      </c>
      <c r="C56" s="637">
        <v>-1060007700</v>
      </c>
      <c r="D56" s="637">
        <v>-1063346247</v>
      </c>
      <c r="E56" s="637">
        <v>-64644521.799999997</v>
      </c>
      <c r="F56" s="637">
        <v>-913035428.49000001</v>
      </c>
      <c r="G56" s="637">
        <v>-924304276.89999998</v>
      </c>
      <c r="H56" s="637">
        <v>-11268848.41</v>
      </c>
      <c r="I56" s="637">
        <v>-1.21917086089813</v>
      </c>
      <c r="J56" s="637">
        <v>-1063346247</v>
      </c>
      <c r="N56" s="639" t="s">
        <v>1843</v>
      </c>
      <c r="O56" s="637">
        <v>-99588482.950000003</v>
      </c>
      <c r="P56" s="637">
        <v>20715700</v>
      </c>
      <c r="Q56" s="637">
        <v>-22268114.699999999</v>
      </c>
      <c r="R56" s="637">
        <v>3802008.09</v>
      </c>
      <c r="S56" s="637">
        <v>-59249449</v>
      </c>
      <c r="T56" s="637">
        <v>-58830198.770000003</v>
      </c>
      <c r="U56" s="637">
        <v>419250.23</v>
      </c>
      <c r="V56" s="637">
        <v>-156.56277508501199</v>
      </c>
      <c r="W56" s="637">
        <v>-22268114.699999999</v>
      </c>
    </row>
    <row r="57" spans="1:23" x14ac:dyDescent="0.2">
      <c r="A57" s="656" t="s">
        <v>1844</v>
      </c>
      <c r="B57" s="637">
        <v>-2500000</v>
      </c>
      <c r="C57" s="637">
        <v>-2500000</v>
      </c>
      <c r="D57" s="637">
        <v>-2500000</v>
      </c>
      <c r="E57" s="637">
        <v>-174491.17</v>
      </c>
      <c r="F57" s="637">
        <v>-2038780.47</v>
      </c>
      <c r="G57" s="637">
        <v>-623407.43999999994</v>
      </c>
      <c r="H57" s="637">
        <v>1415373.03</v>
      </c>
      <c r="I57" s="637">
        <v>227.038199929087</v>
      </c>
      <c r="J57" s="637">
        <v>-2500000</v>
      </c>
      <c r="N57" s="656" t="s">
        <v>1844</v>
      </c>
      <c r="O57" s="637">
        <v>2500000</v>
      </c>
      <c r="P57" s="637">
        <v>2500000</v>
      </c>
      <c r="Q57" s="637">
        <v>2500000</v>
      </c>
      <c r="R57" s="637">
        <v>174491.17</v>
      </c>
      <c r="S57" s="637">
        <v>2038780.47</v>
      </c>
      <c r="T57" s="637">
        <v>761802.57</v>
      </c>
      <c r="U57" s="637">
        <v>-1276977.8999999999</v>
      </c>
      <c r="V57" s="637">
        <v>-167.62583250408301</v>
      </c>
      <c r="W57" s="637">
        <v>2500000</v>
      </c>
    </row>
    <row r="58" spans="1:23" x14ac:dyDescent="0.2">
      <c r="A58" s="656" t="s">
        <v>1845</v>
      </c>
      <c r="B58" s="637">
        <v>-935412877.90999997</v>
      </c>
      <c r="C58" s="637">
        <v>-1055120100</v>
      </c>
      <c r="D58" s="637">
        <v>-1057810947</v>
      </c>
      <c r="E58" s="637">
        <v>-64379796.829999998</v>
      </c>
      <c r="F58" s="637">
        <v>-906557402.62</v>
      </c>
      <c r="G58" s="637">
        <v>-919375597.58000004</v>
      </c>
      <c r="H58" s="637">
        <v>-12818194.960000001</v>
      </c>
      <c r="I58" s="637">
        <v>-1.3942283212367499</v>
      </c>
      <c r="J58" s="637">
        <v>-1057810947</v>
      </c>
      <c r="N58" s="656" t="s">
        <v>1845</v>
      </c>
      <c r="O58" s="637">
        <v>-116605403.18000001</v>
      </c>
      <c r="P58" s="637">
        <v>7943900</v>
      </c>
      <c r="Q58" s="637">
        <v>-31294222.530000001</v>
      </c>
      <c r="R58" s="637">
        <v>3559215.77</v>
      </c>
      <c r="S58" s="637">
        <v>-63908825.659999996</v>
      </c>
      <c r="T58" s="637">
        <v>-62780022.850000001</v>
      </c>
      <c r="U58" s="637">
        <v>1128802.81</v>
      </c>
      <c r="V58" s="637">
        <v>1.79802867019823</v>
      </c>
      <c r="W58" s="637">
        <v>-31294222.530000001</v>
      </c>
    </row>
    <row r="59" spans="1:23" x14ac:dyDescent="0.2">
      <c r="A59" s="656" t="s">
        <v>1846</v>
      </c>
      <c r="B59" s="637">
        <v>-82144.240000000005</v>
      </c>
      <c r="C59" s="637"/>
      <c r="D59" s="637"/>
      <c r="E59" s="637"/>
      <c r="F59" s="637"/>
      <c r="G59" s="637"/>
      <c r="H59" s="637"/>
      <c r="I59" s="637"/>
      <c r="J59" s="637"/>
      <c r="N59" s="656" t="s">
        <v>1846</v>
      </c>
      <c r="O59" s="637">
        <v>8031210.7999999998</v>
      </c>
      <c r="P59" s="637">
        <v>10412500</v>
      </c>
      <c r="Q59" s="637">
        <v>9845900</v>
      </c>
      <c r="R59" s="637">
        <v>648920.49</v>
      </c>
      <c r="S59" s="637">
        <v>6832226.5700000003</v>
      </c>
      <c r="T59" s="637">
        <v>6898893.8499999996</v>
      </c>
      <c r="U59" s="637">
        <v>66667.28</v>
      </c>
      <c r="V59" s="637">
        <v>0.96634738045723101</v>
      </c>
      <c r="W59" s="637">
        <v>9845900</v>
      </c>
    </row>
    <row r="60" spans="1:23" x14ac:dyDescent="0.2">
      <c r="A60" s="656" t="s">
        <v>1847</v>
      </c>
      <c r="B60" s="637">
        <v>-2532974.44</v>
      </c>
      <c r="C60" s="637">
        <v>-2319400</v>
      </c>
      <c r="D60" s="637">
        <v>-2967100</v>
      </c>
      <c r="E60" s="637">
        <v>-84550.47</v>
      </c>
      <c r="F60" s="637">
        <v>-4382412.0999999996</v>
      </c>
      <c r="G60" s="637">
        <v>-4248438.55</v>
      </c>
      <c r="H60" s="637">
        <v>133973.54999999999</v>
      </c>
      <c r="I60" s="637">
        <v>3.1534774111302601</v>
      </c>
      <c r="J60" s="637">
        <v>-2967100</v>
      </c>
      <c r="N60" s="656" t="s">
        <v>1847</v>
      </c>
      <c r="O60" s="637">
        <v>4081321.59</v>
      </c>
      <c r="P60" s="637">
        <v>-3321900</v>
      </c>
      <c r="Q60" s="637">
        <v>-5399492.1699999999</v>
      </c>
      <c r="R60" s="637">
        <v>-749373.16</v>
      </c>
      <c r="S60" s="637">
        <v>-5984573.3300000001</v>
      </c>
      <c r="T60" s="637">
        <v>-5461391.96</v>
      </c>
      <c r="U60" s="637">
        <v>523181.37</v>
      </c>
      <c r="V60" s="637">
        <v>9.5796341634486897</v>
      </c>
      <c r="W60" s="637">
        <v>-5399492.1699999999</v>
      </c>
    </row>
    <row r="61" spans="1:23" x14ac:dyDescent="0.2">
      <c r="A61" s="656" t="s">
        <v>1848</v>
      </c>
      <c r="B61" s="637">
        <v>-108944.24</v>
      </c>
      <c r="C61" s="637">
        <v>-68200</v>
      </c>
      <c r="D61" s="637">
        <v>-68200</v>
      </c>
      <c r="E61" s="637">
        <v>-5683.33</v>
      </c>
      <c r="F61" s="637">
        <v>-56833.3</v>
      </c>
      <c r="G61" s="637">
        <v>-56833.33</v>
      </c>
      <c r="H61" s="637">
        <v>-0.03</v>
      </c>
      <c r="I61" s="637">
        <v>-5.2785926849614497E-5</v>
      </c>
      <c r="J61" s="637">
        <v>-68200</v>
      </c>
      <c r="N61" s="656" t="s">
        <v>1848</v>
      </c>
      <c r="O61" s="637">
        <v>2404387.8399999999</v>
      </c>
      <c r="P61" s="637">
        <v>3181200</v>
      </c>
      <c r="Q61" s="637">
        <v>2079700</v>
      </c>
      <c r="R61" s="637">
        <v>168753.82</v>
      </c>
      <c r="S61" s="637">
        <v>1772942.95</v>
      </c>
      <c r="T61" s="637">
        <v>1750519.62</v>
      </c>
      <c r="U61" s="637">
        <v>-22423.33</v>
      </c>
      <c r="V61" s="637">
        <v>-1.28095279503351</v>
      </c>
      <c r="W61" s="637">
        <v>2079700</v>
      </c>
    </row>
    <row r="62" spans="1:23" x14ac:dyDescent="0.2">
      <c r="A62" s="639" t="s">
        <v>1849</v>
      </c>
      <c r="B62" s="637">
        <v>-2115777322.9300001</v>
      </c>
      <c r="C62" s="637">
        <v>-2629286100</v>
      </c>
      <c r="D62" s="637">
        <v>-2442734200</v>
      </c>
      <c r="E62" s="637">
        <v>-197192421.72</v>
      </c>
      <c r="F62" s="637">
        <v>-2010934502.1700001</v>
      </c>
      <c r="G62" s="637">
        <v>-1961605412.3099999</v>
      </c>
      <c r="H62" s="637">
        <v>49329089.859999999</v>
      </c>
      <c r="I62" s="637">
        <v>2.51473051361077</v>
      </c>
      <c r="J62" s="637">
        <v>-2442734200</v>
      </c>
      <c r="N62" s="639" t="s">
        <v>1849</v>
      </c>
      <c r="O62" s="637">
        <v>1995600777.7</v>
      </c>
      <c r="P62" s="637">
        <v>2401290500</v>
      </c>
      <c r="Q62" s="637">
        <v>2342808562.7600002</v>
      </c>
      <c r="R62" s="637">
        <v>165463293.88999999</v>
      </c>
      <c r="S62" s="637">
        <v>1994032798.8199999</v>
      </c>
      <c r="T62" s="637">
        <v>1967771108.79</v>
      </c>
      <c r="U62" s="637">
        <v>-26261690.030000001</v>
      </c>
      <c r="V62" s="637">
        <v>-39.257087055051201</v>
      </c>
      <c r="W62" s="637">
        <v>2342808562.7600002</v>
      </c>
    </row>
    <row r="63" spans="1:23" x14ac:dyDescent="0.2">
      <c r="A63" s="656" t="s">
        <v>1850</v>
      </c>
      <c r="B63" s="637">
        <v>-646729.38</v>
      </c>
      <c r="C63" s="637">
        <v>-286600</v>
      </c>
      <c r="D63" s="637">
        <v>-286600</v>
      </c>
      <c r="E63" s="637">
        <v>-23875</v>
      </c>
      <c r="F63" s="637">
        <v>-238844.06</v>
      </c>
      <c r="G63" s="637">
        <v>-238944.06</v>
      </c>
      <c r="H63" s="637">
        <v>-100</v>
      </c>
      <c r="I63" s="637">
        <v>-4.1850799722746801E-2</v>
      </c>
      <c r="J63" s="637">
        <v>-286600</v>
      </c>
      <c r="N63" s="656" t="s">
        <v>1850</v>
      </c>
      <c r="O63" s="637">
        <v>29041412.530000001</v>
      </c>
      <c r="P63" s="637">
        <v>33824800</v>
      </c>
      <c r="Q63" s="637">
        <v>31868321.559999999</v>
      </c>
      <c r="R63" s="637">
        <v>1874822.4</v>
      </c>
      <c r="S63" s="637">
        <v>23702855.809999999</v>
      </c>
      <c r="T63" s="637">
        <v>23995530.199999999</v>
      </c>
      <c r="U63" s="637">
        <v>292674.39</v>
      </c>
      <c r="V63" s="637">
        <v>1.2197037846657</v>
      </c>
      <c r="W63" s="637">
        <v>31868321.559999999</v>
      </c>
    </row>
    <row r="64" spans="1:23" x14ac:dyDescent="0.2">
      <c r="A64" s="656" t="s">
        <v>1851</v>
      </c>
      <c r="B64" s="637">
        <v>-19657.04</v>
      </c>
      <c r="C64" s="637">
        <v>-41200</v>
      </c>
      <c r="D64" s="637">
        <v>-41200</v>
      </c>
      <c r="E64" s="637">
        <v>-3433.33</v>
      </c>
      <c r="F64" s="637">
        <v>-34333.300000000003</v>
      </c>
      <c r="G64" s="637">
        <v>-34333.33</v>
      </c>
      <c r="H64" s="637">
        <v>-0.03</v>
      </c>
      <c r="I64" s="637">
        <v>-8.7378649260063006E-5</v>
      </c>
      <c r="J64" s="637">
        <v>-41200</v>
      </c>
      <c r="N64" s="656" t="s">
        <v>1851</v>
      </c>
      <c r="O64" s="637">
        <v>1547330779.9200001</v>
      </c>
      <c r="P64" s="637">
        <v>1824263800</v>
      </c>
      <c r="Q64" s="637">
        <v>1824038573.49</v>
      </c>
      <c r="R64" s="637">
        <v>128146451.31999999</v>
      </c>
      <c r="S64" s="637">
        <v>1502166733.1300001</v>
      </c>
      <c r="T64" s="637">
        <v>1502953371.04</v>
      </c>
      <c r="U64" s="637">
        <v>786637.91</v>
      </c>
      <c r="V64" s="637">
        <v>5.2339475406058003E-2</v>
      </c>
      <c r="W64" s="637">
        <v>1824038573.49</v>
      </c>
    </row>
    <row r="65" spans="1:23" x14ac:dyDescent="0.2">
      <c r="A65" s="656" t="s">
        <v>1852</v>
      </c>
      <c r="B65" s="637">
        <v>-2106438891.6199999</v>
      </c>
      <c r="C65" s="637">
        <v>-2620250500</v>
      </c>
      <c r="D65" s="637">
        <v>-2433698300</v>
      </c>
      <c r="E65" s="637">
        <v>-197077546.72</v>
      </c>
      <c r="F65" s="637">
        <v>-2007231822.1500001</v>
      </c>
      <c r="G65" s="637">
        <v>-1960196324.1800001</v>
      </c>
      <c r="H65" s="637">
        <v>47035497.969999999</v>
      </c>
      <c r="I65" s="637">
        <v>2.3995299547190099</v>
      </c>
      <c r="J65" s="637">
        <v>-2433698300</v>
      </c>
      <c r="N65" s="656" t="s">
        <v>1852</v>
      </c>
      <c r="O65" s="637">
        <v>240465693</v>
      </c>
      <c r="P65" s="637">
        <v>426791200</v>
      </c>
      <c r="Q65" s="637">
        <v>366668882.63999999</v>
      </c>
      <c r="R65" s="637">
        <v>19813107.780000001</v>
      </c>
      <c r="S65" s="637">
        <v>314320777.5</v>
      </c>
      <c r="T65" s="637">
        <v>313622329.74000001</v>
      </c>
      <c r="U65" s="637">
        <v>-698447.76</v>
      </c>
      <c r="V65" s="637">
        <v>-0.222703453730169</v>
      </c>
      <c r="W65" s="637">
        <v>366668882.63999999</v>
      </c>
    </row>
    <row r="66" spans="1:23" x14ac:dyDescent="0.2">
      <c r="A66" s="656" t="s">
        <v>1853</v>
      </c>
      <c r="B66" s="637">
        <v>-465091.7</v>
      </c>
      <c r="C66" s="637">
        <v>-263000</v>
      </c>
      <c r="D66" s="637">
        <v>-263200</v>
      </c>
      <c r="E66" s="637">
        <v>-14783.34</v>
      </c>
      <c r="F66" s="637">
        <v>-147848.85999999999</v>
      </c>
      <c r="G66" s="637">
        <v>-147934.54</v>
      </c>
      <c r="H66" s="637">
        <v>-85.68</v>
      </c>
      <c r="I66" s="637">
        <v>-5.7917508649433701E-2</v>
      </c>
      <c r="J66" s="637">
        <v>-263200</v>
      </c>
      <c r="N66" s="656" t="s">
        <v>1853</v>
      </c>
      <c r="O66" s="637">
        <v>17907268.27</v>
      </c>
      <c r="P66" s="637">
        <v>17394600</v>
      </c>
      <c r="Q66" s="637">
        <v>17929900</v>
      </c>
      <c r="R66" s="637">
        <v>1459683.35</v>
      </c>
      <c r="S66" s="637">
        <v>14751597.369999999</v>
      </c>
      <c r="T66" s="637">
        <v>14858445.300000001</v>
      </c>
      <c r="U66" s="637">
        <v>106847.93</v>
      </c>
      <c r="V66" s="637">
        <v>0.71910571962734204</v>
      </c>
      <c r="W66" s="637">
        <v>17929900</v>
      </c>
    </row>
    <row r="67" spans="1:23" x14ac:dyDescent="0.2">
      <c r="A67" s="656" t="s">
        <v>1854</v>
      </c>
      <c r="B67" s="637">
        <v>-5079789.8899999997</v>
      </c>
      <c r="C67" s="637">
        <v>-5125900</v>
      </c>
      <c r="D67" s="637">
        <v>-5126000</v>
      </c>
      <c r="E67" s="637">
        <v>-32975</v>
      </c>
      <c r="F67" s="637">
        <v>-1019130</v>
      </c>
      <c r="G67" s="637">
        <v>-589792.87</v>
      </c>
      <c r="H67" s="637">
        <v>429337.13</v>
      </c>
      <c r="I67" s="637">
        <v>72.794560910849896</v>
      </c>
      <c r="J67" s="637">
        <v>-5126000</v>
      </c>
      <c r="N67" s="656" t="s">
        <v>1854</v>
      </c>
      <c r="O67" s="637">
        <v>26868472.120000001</v>
      </c>
      <c r="P67" s="637">
        <v>32012200</v>
      </c>
      <c r="Q67" s="637">
        <v>29626687.550000001</v>
      </c>
      <c r="R67" s="637">
        <v>1997486.17</v>
      </c>
      <c r="S67" s="637">
        <v>20609758.329999998</v>
      </c>
      <c r="T67" s="637">
        <v>21288713.170000002</v>
      </c>
      <c r="U67" s="637">
        <v>678954.84</v>
      </c>
      <c r="V67" s="637">
        <v>3.18927139737493</v>
      </c>
      <c r="W67" s="637">
        <v>29626687.550000001</v>
      </c>
    </row>
    <row r="68" spans="1:23" x14ac:dyDescent="0.2">
      <c r="A68" s="656" t="s">
        <v>1855</v>
      </c>
      <c r="B68" s="637">
        <v>-174988.47</v>
      </c>
      <c r="C68" s="637">
        <v>-103900</v>
      </c>
      <c r="D68" s="637">
        <v>-103900</v>
      </c>
      <c r="E68" s="637">
        <v>-6825</v>
      </c>
      <c r="F68" s="637">
        <v>-68250</v>
      </c>
      <c r="G68" s="637">
        <v>-68250</v>
      </c>
      <c r="H68" s="637">
        <v>0</v>
      </c>
      <c r="I68" s="637">
        <v>0</v>
      </c>
      <c r="J68" s="637">
        <v>-103900</v>
      </c>
      <c r="N68" s="656" t="s">
        <v>1855</v>
      </c>
      <c r="O68" s="637">
        <v>30276870.219999999</v>
      </c>
      <c r="P68" s="637">
        <v>38949900</v>
      </c>
      <c r="Q68" s="637">
        <v>38972830.229999997</v>
      </c>
      <c r="R68" s="637">
        <v>3856753.73</v>
      </c>
      <c r="S68" s="637">
        <v>30743049.57</v>
      </c>
      <c r="T68" s="637">
        <v>33542183.120000001</v>
      </c>
      <c r="U68" s="637">
        <v>2799133.55</v>
      </c>
      <c r="V68" s="637">
        <v>8.3451143892031805</v>
      </c>
      <c r="W68" s="637">
        <v>38972830.229999997</v>
      </c>
    </row>
    <row r="69" spans="1:23" x14ac:dyDescent="0.2">
      <c r="A69" s="656" t="s">
        <v>1856</v>
      </c>
      <c r="B69" s="637">
        <v>-2952174.83</v>
      </c>
      <c r="C69" s="637">
        <v>-3215000</v>
      </c>
      <c r="D69" s="637">
        <v>-3215000</v>
      </c>
      <c r="E69" s="637">
        <v>-32983.33</v>
      </c>
      <c r="F69" s="637">
        <v>-2194273.7999999998</v>
      </c>
      <c r="G69" s="637">
        <v>-329833.33</v>
      </c>
      <c r="H69" s="637">
        <v>1864440.47</v>
      </c>
      <c r="I69" s="637">
        <v>565.26745492943405</v>
      </c>
      <c r="J69" s="637">
        <v>-3215000</v>
      </c>
      <c r="N69" s="656" t="s">
        <v>1856</v>
      </c>
      <c r="O69" s="637">
        <v>103710281.64</v>
      </c>
      <c r="P69" s="637">
        <v>28054000</v>
      </c>
      <c r="Q69" s="637">
        <v>33703367.289999999</v>
      </c>
      <c r="R69" s="637">
        <v>8314989.1399999997</v>
      </c>
      <c r="S69" s="637">
        <v>87738027.109999999</v>
      </c>
      <c r="T69" s="637">
        <v>57510536.219999999</v>
      </c>
      <c r="U69" s="637">
        <v>-30227490.890000001</v>
      </c>
      <c r="V69" s="637">
        <v>-52.5599183675982</v>
      </c>
      <c r="W69" s="637">
        <v>33703367.289999999</v>
      </c>
    </row>
    <row r="70" spans="1:23" x14ac:dyDescent="0.2">
      <c r="A70" s="639" t="s">
        <v>1857</v>
      </c>
      <c r="B70" s="637">
        <v>-973988.97</v>
      </c>
      <c r="C70" s="637">
        <v>-511100</v>
      </c>
      <c r="D70" s="637">
        <v>-511200</v>
      </c>
      <c r="E70" s="637">
        <v>-40667.519999999997</v>
      </c>
      <c r="F70" s="637">
        <v>-404878.22</v>
      </c>
      <c r="G70" s="637">
        <v>-407693.52</v>
      </c>
      <c r="H70" s="637">
        <v>-2815.3</v>
      </c>
      <c r="I70" s="637">
        <v>-0.69054322962994397</v>
      </c>
      <c r="J70" s="637">
        <v>-511200</v>
      </c>
      <c r="N70" s="639" t="s">
        <v>1857</v>
      </c>
      <c r="O70" s="637">
        <v>16734688.380000001</v>
      </c>
      <c r="P70" s="637">
        <v>19896100</v>
      </c>
      <c r="Q70" s="637">
        <v>18002527.960000001</v>
      </c>
      <c r="R70" s="637">
        <v>990002.04</v>
      </c>
      <c r="S70" s="637">
        <v>11847528.460000001</v>
      </c>
      <c r="T70" s="637">
        <v>13659882.65</v>
      </c>
      <c r="U70" s="637">
        <v>1812354.19</v>
      </c>
      <c r="V70" s="637">
        <v>545.69896082282196</v>
      </c>
      <c r="W70" s="637">
        <v>18002527.960000001</v>
      </c>
    </row>
    <row r="71" spans="1:23" x14ac:dyDescent="0.2">
      <c r="A71" s="656" t="s">
        <v>1858</v>
      </c>
      <c r="B71" s="637">
        <v>-546609.67000000004</v>
      </c>
      <c r="C71" s="637">
        <v>-286600</v>
      </c>
      <c r="D71" s="637">
        <v>-286600</v>
      </c>
      <c r="E71" s="637">
        <v>-23883.33</v>
      </c>
      <c r="F71" s="637">
        <v>-238833.3</v>
      </c>
      <c r="G71" s="637">
        <v>-238833.33</v>
      </c>
      <c r="H71" s="637">
        <v>-0.03</v>
      </c>
      <c r="I71" s="637">
        <v>-1.25610608871048E-5</v>
      </c>
      <c r="J71" s="637">
        <v>-286600</v>
      </c>
      <c r="N71" s="656" t="s">
        <v>1858</v>
      </c>
      <c r="O71" s="637">
        <v>17646764.16</v>
      </c>
      <c r="P71" s="637">
        <v>19783900</v>
      </c>
      <c r="Q71" s="637">
        <v>18921460.739999998</v>
      </c>
      <c r="R71" s="637">
        <v>1464584.34</v>
      </c>
      <c r="S71" s="637">
        <v>13491108.109999999</v>
      </c>
      <c r="T71" s="637">
        <v>13915633.699999999</v>
      </c>
      <c r="U71" s="637">
        <v>424525.59</v>
      </c>
      <c r="V71" s="637">
        <v>3.0507097208228502</v>
      </c>
      <c r="W71" s="637">
        <v>18921460.739999998</v>
      </c>
    </row>
    <row r="72" spans="1:23" x14ac:dyDescent="0.2">
      <c r="A72" s="656" t="s">
        <v>1859</v>
      </c>
      <c r="B72" s="637">
        <v>-427379.3</v>
      </c>
      <c r="C72" s="637">
        <v>-224500</v>
      </c>
      <c r="D72" s="637">
        <v>-224600</v>
      </c>
      <c r="E72" s="637">
        <v>-16784.189999999999</v>
      </c>
      <c r="F72" s="637">
        <v>-166044.92000000001</v>
      </c>
      <c r="G72" s="637">
        <v>-168860.19</v>
      </c>
      <c r="H72" s="637">
        <v>-2815.27</v>
      </c>
      <c r="I72" s="637">
        <v>-1.66721949086993</v>
      </c>
      <c r="J72" s="637">
        <v>-224600</v>
      </c>
      <c r="N72" s="656" t="s">
        <v>1859</v>
      </c>
      <c r="O72" s="637">
        <v>-912075.78</v>
      </c>
      <c r="P72" s="637">
        <v>112200</v>
      </c>
      <c r="Q72" s="637">
        <v>-918932.78</v>
      </c>
      <c r="R72" s="637">
        <v>-474582.3</v>
      </c>
      <c r="S72" s="637">
        <v>-1643579.65</v>
      </c>
      <c r="T72" s="637">
        <v>-255751.05</v>
      </c>
      <c r="U72" s="637">
        <v>1387828.6</v>
      </c>
      <c r="V72" s="637">
        <v>542.64825110199899</v>
      </c>
      <c r="W72" s="637">
        <v>-918932.78</v>
      </c>
    </row>
    <row r="73" spans="1:23" x14ac:dyDescent="0.2">
      <c r="A73" s="639" t="s">
        <v>1860</v>
      </c>
      <c r="B73" s="637">
        <v>-1640351979.1300001</v>
      </c>
      <c r="C73" s="637">
        <v>-1706717000</v>
      </c>
      <c r="D73" s="637">
        <v>-1616827700</v>
      </c>
      <c r="E73" s="637">
        <v>-73425907.349999994</v>
      </c>
      <c r="F73" s="637">
        <v>-1327757460.0899999</v>
      </c>
      <c r="G73" s="637">
        <v>-1379266871.8900001</v>
      </c>
      <c r="H73" s="637">
        <v>-51509411.799999997</v>
      </c>
      <c r="I73" s="637">
        <v>-3.7345500605997302</v>
      </c>
      <c r="J73" s="637">
        <v>-1616827700</v>
      </c>
      <c r="N73" s="639" t="s">
        <v>1860</v>
      </c>
      <c r="O73" s="637">
        <v>1879138714.3800001</v>
      </c>
      <c r="P73" s="637">
        <v>1865631200</v>
      </c>
      <c r="Q73" s="637">
        <v>1867326203.48</v>
      </c>
      <c r="R73" s="637">
        <v>129240117.45999999</v>
      </c>
      <c r="S73" s="637">
        <v>1595368458.46</v>
      </c>
      <c r="T73" s="637">
        <v>1590861748.52</v>
      </c>
      <c r="U73" s="637">
        <v>-4506709.9400000004</v>
      </c>
      <c r="V73" s="637">
        <v>-10.649041862296199</v>
      </c>
      <c r="W73" s="637">
        <v>1867326203.48</v>
      </c>
    </row>
    <row r="74" spans="1:23" x14ac:dyDescent="0.2">
      <c r="A74" s="656" t="s">
        <v>1861</v>
      </c>
      <c r="B74" s="637">
        <v>-723219.19</v>
      </c>
      <c r="C74" s="637">
        <v>-452500</v>
      </c>
      <c r="D74" s="637">
        <v>-452500</v>
      </c>
      <c r="E74" s="637"/>
      <c r="F74" s="637"/>
      <c r="G74" s="637"/>
      <c r="H74" s="637"/>
      <c r="I74" s="637"/>
      <c r="J74" s="637">
        <v>-452500</v>
      </c>
      <c r="N74" s="656" t="s">
        <v>1861</v>
      </c>
      <c r="O74" s="637">
        <v>679718.81</v>
      </c>
      <c r="P74" s="637">
        <v>1497200</v>
      </c>
      <c r="Q74" s="637">
        <v>1491652.61</v>
      </c>
      <c r="R74" s="637">
        <v>117891.45</v>
      </c>
      <c r="S74" s="637">
        <v>205008.68</v>
      </c>
      <c r="T74" s="637">
        <v>686608.67</v>
      </c>
      <c r="U74" s="637">
        <v>481599.99</v>
      </c>
      <c r="V74" s="637">
        <v>70.1418451357452</v>
      </c>
      <c r="W74" s="637">
        <v>1491652.61</v>
      </c>
    </row>
    <row r="75" spans="1:23" x14ac:dyDescent="0.2">
      <c r="A75" s="656" t="s">
        <v>1862</v>
      </c>
      <c r="B75" s="637">
        <v>-48229805.060000002</v>
      </c>
      <c r="C75" s="637">
        <v>-11323800</v>
      </c>
      <c r="D75" s="637">
        <v>-23491500</v>
      </c>
      <c r="E75" s="637">
        <v>273650.40999999997</v>
      </c>
      <c r="F75" s="637">
        <v>-25366328.219999999</v>
      </c>
      <c r="G75" s="637">
        <v>-29225071.5</v>
      </c>
      <c r="H75" s="637">
        <v>-3858743.28</v>
      </c>
      <c r="I75" s="637">
        <v>-13.203537517436001</v>
      </c>
      <c r="J75" s="637">
        <v>-23491500</v>
      </c>
      <c r="N75" s="656" t="s">
        <v>1862</v>
      </c>
      <c r="O75" s="637">
        <v>170369443.75</v>
      </c>
      <c r="P75" s="637">
        <v>149544800</v>
      </c>
      <c r="Q75" s="637">
        <v>154852051.06</v>
      </c>
      <c r="R75" s="637">
        <v>12691180.460000001</v>
      </c>
      <c r="S75" s="637">
        <v>136334774.22</v>
      </c>
      <c r="T75" s="637">
        <v>136003188.09999999</v>
      </c>
      <c r="U75" s="637">
        <v>-331586.12</v>
      </c>
      <c r="V75" s="637">
        <v>-0.24380760821297201</v>
      </c>
      <c r="W75" s="637">
        <v>154852051.06</v>
      </c>
    </row>
    <row r="76" spans="1:23" x14ac:dyDescent="0.2">
      <c r="A76" s="656" t="s">
        <v>1863</v>
      </c>
      <c r="B76" s="637">
        <v>-7311654.7999999998</v>
      </c>
      <c r="C76" s="637">
        <v>-18958500</v>
      </c>
      <c r="D76" s="637">
        <v>-6453500</v>
      </c>
      <c r="E76" s="637">
        <v>-121125</v>
      </c>
      <c r="F76" s="637">
        <v>-7255643.0999999996</v>
      </c>
      <c r="G76" s="637">
        <v>-1211250</v>
      </c>
      <c r="H76" s="637">
        <v>6044393.0999999996</v>
      </c>
      <c r="I76" s="637">
        <v>499.02110216718302</v>
      </c>
      <c r="J76" s="637">
        <v>-6453500</v>
      </c>
      <c r="N76" s="656" t="s">
        <v>1863</v>
      </c>
      <c r="O76" s="637">
        <v>103168732.97</v>
      </c>
      <c r="P76" s="637">
        <v>106705200</v>
      </c>
      <c r="Q76" s="637">
        <v>102979814.75</v>
      </c>
      <c r="R76" s="637">
        <v>8773891.75</v>
      </c>
      <c r="S76" s="637">
        <v>87935488.400000006</v>
      </c>
      <c r="T76" s="637">
        <v>89778832.109999999</v>
      </c>
      <c r="U76" s="637">
        <v>1843343.71</v>
      </c>
      <c r="V76" s="637">
        <v>2.0532052675194898</v>
      </c>
      <c r="W76" s="637">
        <v>102979814.75</v>
      </c>
    </row>
    <row r="77" spans="1:23" x14ac:dyDescent="0.2">
      <c r="A77" s="656" t="s">
        <v>1864</v>
      </c>
      <c r="B77" s="637">
        <v>-29414.74</v>
      </c>
      <c r="C77" s="637">
        <v>-484500</v>
      </c>
      <c r="D77" s="637">
        <v>-7754500</v>
      </c>
      <c r="E77" s="637">
        <v>-4179185.92</v>
      </c>
      <c r="F77" s="637">
        <v>-8667314.0399999991</v>
      </c>
      <c r="G77" s="637">
        <v>-3447390.52</v>
      </c>
      <c r="H77" s="637">
        <v>5219923.5199999996</v>
      </c>
      <c r="I77" s="637">
        <v>151.41665818585599</v>
      </c>
      <c r="J77" s="637">
        <v>-7754500</v>
      </c>
      <c r="N77" s="656" t="s">
        <v>1864</v>
      </c>
      <c r="O77" s="637">
        <v>37737038.799999997</v>
      </c>
      <c r="P77" s="637">
        <v>38351000</v>
      </c>
      <c r="Q77" s="637">
        <v>40266353.18</v>
      </c>
      <c r="R77" s="637">
        <v>2621957.0099999998</v>
      </c>
      <c r="S77" s="637">
        <v>33916863.259999998</v>
      </c>
      <c r="T77" s="637">
        <v>35604189.789999999</v>
      </c>
      <c r="U77" s="637">
        <v>1687326.53</v>
      </c>
      <c r="V77" s="637">
        <v>4.7391235131375202</v>
      </c>
      <c r="W77" s="637">
        <v>40266353.18</v>
      </c>
    </row>
    <row r="78" spans="1:23" x14ac:dyDescent="0.2">
      <c r="A78" s="656" t="s">
        <v>1865</v>
      </c>
      <c r="B78" s="637"/>
      <c r="C78" s="637"/>
      <c r="D78" s="637"/>
      <c r="E78" s="637"/>
      <c r="F78" s="637"/>
      <c r="G78" s="637"/>
      <c r="H78" s="637"/>
      <c r="I78" s="637"/>
      <c r="J78" s="637"/>
      <c r="N78" s="656" t="s">
        <v>1865</v>
      </c>
      <c r="O78" s="637">
        <v>31600</v>
      </c>
      <c r="P78" s="637">
        <v>4900</v>
      </c>
      <c r="Q78" s="637">
        <v>6804700</v>
      </c>
      <c r="R78" s="637">
        <v>583732.67000000004</v>
      </c>
      <c r="S78" s="637">
        <v>1861238.7</v>
      </c>
      <c r="T78" s="637">
        <v>915379.19</v>
      </c>
      <c r="U78" s="637">
        <v>-945859.51</v>
      </c>
      <c r="V78" s="637">
        <v>-103.329802592519</v>
      </c>
      <c r="W78" s="637">
        <v>6804700</v>
      </c>
    </row>
    <row r="79" spans="1:23" x14ac:dyDescent="0.2">
      <c r="A79" s="656" t="s">
        <v>1866</v>
      </c>
      <c r="B79" s="637">
        <v>-2470585.46</v>
      </c>
      <c r="C79" s="637">
        <v>-1274500</v>
      </c>
      <c r="D79" s="637">
        <v>-2099500</v>
      </c>
      <c r="E79" s="637">
        <v>-176470.39</v>
      </c>
      <c r="F79" s="637">
        <v>-1764703.9</v>
      </c>
      <c r="G79" s="637">
        <v>-1460292.73</v>
      </c>
      <c r="H79" s="637">
        <v>304411.17</v>
      </c>
      <c r="I79" s="637">
        <v>20.8459005339292</v>
      </c>
      <c r="J79" s="637">
        <v>-2099500</v>
      </c>
      <c r="N79" s="656" t="s">
        <v>1866</v>
      </c>
      <c r="O79" s="637">
        <v>972070.45</v>
      </c>
      <c r="P79" s="637">
        <v>1070400</v>
      </c>
      <c r="Q79" s="637">
        <v>1102800</v>
      </c>
      <c r="R79" s="637">
        <v>50260.26</v>
      </c>
      <c r="S79" s="637">
        <v>906821.88</v>
      </c>
      <c r="T79" s="637">
        <v>916186.46</v>
      </c>
      <c r="U79" s="637">
        <v>9364.58</v>
      </c>
      <c r="V79" s="637">
        <v>1.0221259982383899</v>
      </c>
      <c r="W79" s="637">
        <v>1102800</v>
      </c>
    </row>
    <row r="80" spans="1:23" x14ac:dyDescent="0.2">
      <c r="A80" s="656" t="s">
        <v>1867</v>
      </c>
      <c r="B80" s="637">
        <v>-751341.44</v>
      </c>
      <c r="C80" s="637">
        <v>-519100</v>
      </c>
      <c r="D80" s="637">
        <v>-519100</v>
      </c>
      <c r="E80" s="637">
        <v>-38900</v>
      </c>
      <c r="F80" s="637">
        <v>-389029.78</v>
      </c>
      <c r="G80" s="637">
        <v>-389029.78</v>
      </c>
      <c r="H80" s="637">
        <v>0</v>
      </c>
      <c r="I80" s="637">
        <v>0</v>
      </c>
      <c r="J80" s="637">
        <v>-519100</v>
      </c>
      <c r="N80" s="656" t="s">
        <v>1867</v>
      </c>
      <c r="O80" s="637">
        <v>63223421.850000001</v>
      </c>
      <c r="P80" s="637">
        <v>67539300</v>
      </c>
      <c r="Q80" s="637">
        <v>71063928.200000003</v>
      </c>
      <c r="R80" s="637">
        <v>3243917.98</v>
      </c>
      <c r="S80" s="637">
        <v>51254873.600000001</v>
      </c>
      <c r="T80" s="637">
        <v>56399778.810000002</v>
      </c>
      <c r="U80" s="637">
        <v>5144905.21</v>
      </c>
      <c r="V80" s="637">
        <v>9.1222081337095204</v>
      </c>
      <c r="W80" s="637">
        <v>71063928.200000003</v>
      </c>
    </row>
    <row r="81" spans="1:23" x14ac:dyDescent="0.2">
      <c r="A81" s="656" t="s">
        <v>1868</v>
      </c>
      <c r="B81" s="637">
        <v>-267193687.75</v>
      </c>
      <c r="C81" s="637">
        <v>-290145700</v>
      </c>
      <c r="D81" s="637">
        <v>-252921800</v>
      </c>
      <c r="E81" s="637">
        <v>-11953740.119999999</v>
      </c>
      <c r="F81" s="637">
        <v>-232718314.38999999</v>
      </c>
      <c r="G81" s="637">
        <v>-237249484.30000001</v>
      </c>
      <c r="H81" s="637">
        <v>-4531169.91</v>
      </c>
      <c r="I81" s="637">
        <v>-1.9098755571035799</v>
      </c>
      <c r="J81" s="637">
        <v>-252921800</v>
      </c>
      <c r="N81" s="656" t="s">
        <v>1868</v>
      </c>
      <c r="O81" s="637">
        <v>135113126.52000001</v>
      </c>
      <c r="P81" s="637">
        <v>141075300</v>
      </c>
      <c r="Q81" s="637">
        <v>134797948.28</v>
      </c>
      <c r="R81" s="637">
        <v>9715246.3100000005</v>
      </c>
      <c r="S81" s="637">
        <v>109838629.18000001</v>
      </c>
      <c r="T81" s="637">
        <v>112131124.70999999</v>
      </c>
      <c r="U81" s="637">
        <v>2292495.5299999998</v>
      </c>
      <c r="V81" s="637">
        <v>2.0444774240238699</v>
      </c>
      <c r="W81" s="637">
        <v>134797948.28</v>
      </c>
    </row>
    <row r="82" spans="1:23" x14ac:dyDescent="0.2">
      <c r="A82" s="656" t="s">
        <v>1508</v>
      </c>
      <c r="B82" s="637">
        <v>-759076.45</v>
      </c>
      <c r="C82" s="637">
        <v>-371000</v>
      </c>
      <c r="D82" s="637">
        <v>-371000</v>
      </c>
      <c r="E82" s="637">
        <v>-30917.41</v>
      </c>
      <c r="F82" s="637">
        <v>-309185.28000000003</v>
      </c>
      <c r="G82" s="637">
        <v>-309170.67</v>
      </c>
      <c r="H82" s="637">
        <v>14.61</v>
      </c>
      <c r="I82" s="637">
        <v>4.7255452789231297E-3</v>
      </c>
      <c r="J82" s="637">
        <v>-371000</v>
      </c>
      <c r="N82" s="656" t="s">
        <v>1508</v>
      </c>
      <c r="O82" s="637">
        <v>97305341.409999996</v>
      </c>
      <c r="P82" s="637">
        <v>96186200</v>
      </c>
      <c r="Q82" s="637">
        <v>101036363.7</v>
      </c>
      <c r="R82" s="637">
        <v>7523529.3099999996</v>
      </c>
      <c r="S82" s="637">
        <v>84018171.030000001</v>
      </c>
      <c r="T82" s="637">
        <v>87702709.629999995</v>
      </c>
      <c r="U82" s="637">
        <v>3684538.6</v>
      </c>
      <c r="V82" s="637">
        <v>4.2011684878885998</v>
      </c>
      <c r="W82" s="637">
        <v>101036363.7</v>
      </c>
    </row>
    <row r="83" spans="1:23" x14ac:dyDescent="0.2">
      <c r="A83" s="656" t="s">
        <v>1869</v>
      </c>
      <c r="B83" s="637">
        <v>-37559707.729999997</v>
      </c>
      <c r="C83" s="637">
        <v>-41884300</v>
      </c>
      <c r="D83" s="637">
        <v>-34384300</v>
      </c>
      <c r="E83" s="637">
        <v>-3906808.87</v>
      </c>
      <c r="F83" s="637">
        <v>-30032391.850000001</v>
      </c>
      <c r="G83" s="637">
        <v>-30260251.27</v>
      </c>
      <c r="H83" s="637">
        <v>-227859.42</v>
      </c>
      <c r="I83" s="637">
        <v>-0.75299910092253497</v>
      </c>
      <c r="J83" s="637">
        <v>-34384300</v>
      </c>
      <c r="N83" s="656" t="s">
        <v>1869</v>
      </c>
      <c r="O83" s="637">
        <v>32370243.399999999</v>
      </c>
      <c r="P83" s="637">
        <v>30274100</v>
      </c>
      <c r="Q83" s="637">
        <v>30274100</v>
      </c>
      <c r="R83" s="637">
        <v>2304939.9</v>
      </c>
      <c r="S83" s="637">
        <v>28183103.75</v>
      </c>
      <c r="T83" s="637">
        <v>26307219.800000001</v>
      </c>
      <c r="U83" s="637">
        <v>-1875883.95</v>
      </c>
      <c r="V83" s="637">
        <v>-7.1306810991863196</v>
      </c>
      <c r="W83" s="637">
        <v>30274100</v>
      </c>
    </row>
    <row r="84" spans="1:23" x14ac:dyDescent="0.2">
      <c r="A84" s="656" t="s">
        <v>1870</v>
      </c>
      <c r="B84" s="637">
        <v>-551673158.07000005</v>
      </c>
      <c r="C84" s="637">
        <v>-575085200</v>
      </c>
      <c r="D84" s="637">
        <v>-575085200</v>
      </c>
      <c r="E84" s="637">
        <v>-32380402.510000002</v>
      </c>
      <c r="F84" s="637">
        <v>-464517091.72000003</v>
      </c>
      <c r="G84" s="637">
        <v>-466645219.01999998</v>
      </c>
      <c r="H84" s="637">
        <v>-2128127.2999999998</v>
      </c>
      <c r="I84" s="637">
        <v>-0.45604823820316298</v>
      </c>
      <c r="J84" s="637">
        <v>-575085200</v>
      </c>
      <c r="N84" s="656" t="s">
        <v>1870</v>
      </c>
      <c r="O84" s="637">
        <v>900968735.61000001</v>
      </c>
      <c r="P84" s="637">
        <v>867231300</v>
      </c>
      <c r="Q84" s="637">
        <v>866886354.44000006</v>
      </c>
      <c r="R84" s="637">
        <v>62719157.020000003</v>
      </c>
      <c r="S84" s="637">
        <v>777545815.24000001</v>
      </c>
      <c r="T84" s="637">
        <v>753458561.60000002</v>
      </c>
      <c r="U84" s="637">
        <v>-24087253.640000001</v>
      </c>
      <c r="V84" s="637">
        <v>-3.19689162319023</v>
      </c>
      <c r="W84" s="637">
        <v>866886354.44000006</v>
      </c>
    </row>
    <row r="85" spans="1:23" x14ac:dyDescent="0.2">
      <c r="A85" s="656" t="s">
        <v>1871</v>
      </c>
      <c r="B85" s="637">
        <v>-25102505.170000002</v>
      </c>
      <c r="C85" s="637">
        <v>-40130000</v>
      </c>
      <c r="D85" s="637">
        <v>-17223600</v>
      </c>
      <c r="E85" s="637">
        <v>1337041.56</v>
      </c>
      <c r="F85" s="637">
        <v>-17222271.920000002</v>
      </c>
      <c r="G85" s="637">
        <v>-18618606.350000001</v>
      </c>
      <c r="H85" s="637">
        <v>-1396334.43</v>
      </c>
      <c r="I85" s="637">
        <v>-7.49967212234443</v>
      </c>
      <c r="J85" s="637">
        <v>-17223600</v>
      </c>
      <c r="N85" s="656" t="s">
        <v>1871</v>
      </c>
      <c r="O85" s="637">
        <v>88490382</v>
      </c>
      <c r="P85" s="637">
        <v>83968400</v>
      </c>
      <c r="Q85" s="637">
        <v>83684689.859999999</v>
      </c>
      <c r="R85" s="637">
        <v>4547101.1399999997</v>
      </c>
      <c r="S85" s="637">
        <v>57831399.950000003</v>
      </c>
      <c r="T85" s="637">
        <v>63657069.990000002</v>
      </c>
      <c r="U85" s="637">
        <v>5825670.04</v>
      </c>
      <c r="V85" s="637">
        <v>9.1516465349648701</v>
      </c>
      <c r="W85" s="637">
        <v>83684689.859999999</v>
      </c>
    </row>
    <row r="86" spans="1:23" x14ac:dyDescent="0.2">
      <c r="A86" s="656" t="s">
        <v>1872</v>
      </c>
      <c r="B86" s="637">
        <v>-698547823.26999998</v>
      </c>
      <c r="C86" s="637">
        <v>-726087900</v>
      </c>
      <c r="D86" s="637">
        <v>-696071200</v>
      </c>
      <c r="E86" s="637">
        <v>-22249049.100000001</v>
      </c>
      <c r="F86" s="637">
        <v>-539515185.88999999</v>
      </c>
      <c r="G86" s="637">
        <v>-590451105.75</v>
      </c>
      <c r="H86" s="637">
        <v>-50935919.859999999</v>
      </c>
      <c r="I86" s="637">
        <v>-8.6266109698110203</v>
      </c>
      <c r="J86" s="637">
        <v>-696071200</v>
      </c>
      <c r="N86" s="656" t="s">
        <v>1872</v>
      </c>
      <c r="O86" s="637">
        <v>248708858.81</v>
      </c>
      <c r="P86" s="637">
        <v>282183100</v>
      </c>
      <c r="Q86" s="637">
        <v>272085447.39999998</v>
      </c>
      <c r="R86" s="637">
        <v>14347312.199999999</v>
      </c>
      <c r="S86" s="637">
        <v>225536270.56999999</v>
      </c>
      <c r="T86" s="637">
        <v>227300899.66</v>
      </c>
      <c r="U86" s="637">
        <v>1764629.09</v>
      </c>
      <c r="V86" s="637">
        <v>0.77634056558489595</v>
      </c>
      <c r="W86" s="637">
        <v>272085447.39999998</v>
      </c>
    </row>
    <row r="87" spans="1:23" x14ac:dyDescent="0.2">
      <c r="A87" s="639" t="s">
        <v>1873</v>
      </c>
      <c r="B87" s="637">
        <v>-784772.69</v>
      </c>
      <c r="C87" s="637">
        <v>-7749500</v>
      </c>
      <c r="D87" s="637">
        <v>-7749700</v>
      </c>
      <c r="E87" s="637">
        <v>-13697.35</v>
      </c>
      <c r="F87" s="637">
        <v>-136750.29</v>
      </c>
      <c r="G87" s="637">
        <v>-2409198.1800000002</v>
      </c>
      <c r="H87" s="637">
        <v>-2272447.89</v>
      </c>
      <c r="I87" s="637">
        <v>-94.323825614047195</v>
      </c>
      <c r="J87" s="637">
        <v>-7749700</v>
      </c>
      <c r="N87" s="639" t="s">
        <v>1873</v>
      </c>
      <c r="O87" s="637">
        <v>4037882.23</v>
      </c>
      <c r="P87" s="637">
        <v>9914000</v>
      </c>
      <c r="Q87" s="637">
        <v>13131406.210000001</v>
      </c>
      <c r="R87" s="637">
        <v>627799.9</v>
      </c>
      <c r="S87" s="637">
        <v>8231496.2999999998</v>
      </c>
      <c r="T87" s="637">
        <v>9909273.7400000002</v>
      </c>
      <c r="U87" s="637">
        <v>1677777.44</v>
      </c>
      <c r="V87" s="637">
        <v>97.748701351603501</v>
      </c>
      <c r="W87" s="637">
        <v>13131406.210000001</v>
      </c>
    </row>
    <row r="88" spans="1:23" x14ac:dyDescent="0.2">
      <c r="A88" s="656" t="s">
        <v>1874</v>
      </c>
      <c r="B88" s="637">
        <v>-235592.03</v>
      </c>
      <c r="C88" s="637">
        <v>-95600</v>
      </c>
      <c r="D88" s="637">
        <v>-95800</v>
      </c>
      <c r="E88" s="637">
        <v>-8014.02</v>
      </c>
      <c r="F88" s="637">
        <v>-79902.67</v>
      </c>
      <c r="G88" s="637">
        <v>-79850.53</v>
      </c>
      <c r="H88" s="637">
        <v>52.14</v>
      </c>
      <c r="I88" s="637">
        <v>6.5296999281031706E-2</v>
      </c>
      <c r="J88" s="637">
        <v>-95800</v>
      </c>
      <c r="N88" s="656" t="s">
        <v>1874</v>
      </c>
      <c r="O88" s="637">
        <v>7991359.4000000004</v>
      </c>
      <c r="P88" s="637">
        <v>9848900</v>
      </c>
      <c r="Q88" s="637">
        <v>13774708.359999999</v>
      </c>
      <c r="R88" s="637">
        <v>763336.82</v>
      </c>
      <c r="S88" s="637">
        <v>9163198.5999999996</v>
      </c>
      <c r="T88" s="637">
        <v>10410823.220000001</v>
      </c>
      <c r="U88" s="637">
        <v>1247624.6200000001</v>
      </c>
      <c r="V88" s="637">
        <v>11.983918981576901</v>
      </c>
      <c r="W88" s="637">
        <v>13774708.359999999</v>
      </c>
    </row>
    <row r="89" spans="1:23" x14ac:dyDescent="0.2">
      <c r="A89" s="656" t="s">
        <v>1875</v>
      </c>
      <c r="B89" s="637">
        <v>-549180.66</v>
      </c>
      <c r="C89" s="637">
        <v>-7653900</v>
      </c>
      <c r="D89" s="637">
        <v>-7653900</v>
      </c>
      <c r="E89" s="637">
        <v>-5683.33</v>
      </c>
      <c r="F89" s="637">
        <v>-56847.62</v>
      </c>
      <c r="G89" s="637">
        <v>-2329347.65</v>
      </c>
      <c r="H89" s="637">
        <v>-2272500.0299999998</v>
      </c>
      <c r="I89" s="637">
        <v>-97.5595046965188</v>
      </c>
      <c r="J89" s="637">
        <v>-7653900</v>
      </c>
      <c r="N89" s="656" t="s">
        <v>1875</v>
      </c>
      <c r="O89" s="637">
        <v>-3953477.17</v>
      </c>
      <c r="P89" s="637">
        <v>65100</v>
      </c>
      <c r="Q89" s="637">
        <v>-643302.15</v>
      </c>
      <c r="R89" s="637">
        <v>-135536.92000000001</v>
      </c>
      <c r="S89" s="637">
        <v>-931702.3</v>
      </c>
      <c r="T89" s="637">
        <v>-501549.48</v>
      </c>
      <c r="U89" s="637">
        <v>430152.82</v>
      </c>
      <c r="V89" s="637">
        <v>85.764782370026595</v>
      </c>
      <c r="W89" s="637">
        <v>-643302.15</v>
      </c>
    </row>
    <row r="90" spans="1:23" x14ac:dyDescent="0.2">
      <c r="A90" s="639" t="s">
        <v>1876</v>
      </c>
      <c r="B90" s="637">
        <v>-4344303.2</v>
      </c>
      <c r="C90" s="637">
        <v>-3966200</v>
      </c>
      <c r="D90" s="637">
        <v>-4296300</v>
      </c>
      <c r="E90" s="637">
        <v>-521203.69</v>
      </c>
      <c r="F90" s="637">
        <v>-4805879.8499999996</v>
      </c>
      <c r="G90" s="637">
        <v>-3928679.29</v>
      </c>
      <c r="H90" s="637">
        <v>877200.56</v>
      </c>
      <c r="I90" s="637">
        <v>22.328128494296099</v>
      </c>
      <c r="J90" s="637">
        <v>-4296300</v>
      </c>
      <c r="N90" s="639" t="s">
        <v>1876</v>
      </c>
      <c r="O90" s="637">
        <v>43801447.909999996</v>
      </c>
      <c r="P90" s="637">
        <v>65090500</v>
      </c>
      <c r="Q90" s="637">
        <v>74372400.430000007</v>
      </c>
      <c r="R90" s="637">
        <v>2854703.31</v>
      </c>
      <c r="S90" s="637">
        <v>37752815.609999999</v>
      </c>
      <c r="T90" s="637">
        <v>49444851.280000001</v>
      </c>
      <c r="U90" s="637">
        <v>11692035.67</v>
      </c>
      <c r="V90" s="637">
        <v>169.24860135596501</v>
      </c>
      <c r="W90" s="637">
        <v>74372400.430000007</v>
      </c>
    </row>
    <row r="91" spans="1:23" x14ac:dyDescent="0.2">
      <c r="A91" s="656" t="s">
        <v>1877</v>
      </c>
      <c r="B91" s="637">
        <v>-851614.37</v>
      </c>
      <c r="C91" s="637">
        <v>-532100</v>
      </c>
      <c r="D91" s="637">
        <v>-532100</v>
      </c>
      <c r="E91" s="637">
        <v>-81314.27</v>
      </c>
      <c r="F91" s="637">
        <v>-1341156.8500000001</v>
      </c>
      <c r="G91" s="637">
        <v>-1304084.18</v>
      </c>
      <c r="H91" s="637">
        <v>37072.67</v>
      </c>
      <c r="I91" s="637">
        <v>2.84281264726331</v>
      </c>
      <c r="J91" s="637">
        <v>-532100</v>
      </c>
      <c r="N91" s="656" t="s">
        <v>1877</v>
      </c>
      <c r="O91" s="637">
        <v>-8448665.3800000008</v>
      </c>
      <c r="P91" s="637">
        <v>1530100</v>
      </c>
      <c r="Q91" s="637">
        <v>14229150.43</v>
      </c>
      <c r="R91" s="637">
        <v>-2762426.8</v>
      </c>
      <c r="S91" s="637">
        <v>-3670746.98</v>
      </c>
      <c r="T91" s="637">
        <v>7373250</v>
      </c>
      <c r="U91" s="637">
        <v>11043996.98</v>
      </c>
      <c r="V91" s="637">
        <v>149.78465371444099</v>
      </c>
      <c r="W91" s="637">
        <v>14229150.43</v>
      </c>
    </row>
    <row r="92" spans="1:23" x14ac:dyDescent="0.2">
      <c r="A92" s="656" t="s">
        <v>1878</v>
      </c>
      <c r="B92" s="637">
        <v>-28800</v>
      </c>
      <c r="C92" s="637">
        <v>-27300</v>
      </c>
      <c r="D92" s="637">
        <v>-27400</v>
      </c>
      <c r="E92" s="637">
        <v>-2275</v>
      </c>
      <c r="F92" s="637">
        <v>-22750</v>
      </c>
      <c r="G92" s="637">
        <v>-22792.87</v>
      </c>
      <c r="H92" s="637">
        <v>-42.87</v>
      </c>
      <c r="I92" s="637">
        <v>-0.18808513364047599</v>
      </c>
      <c r="J92" s="637">
        <v>-27400</v>
      </c>
      <c r="N92" s="656" t="s">
        <v>1878</v>
      </c>
      <c r="O92" s="637">
        <v>3004452.54</v>
      </c>
      <c r="P92" s="637">
        <v>4582400</v>
      </c>
      <c r="Q92" s="637">
        <v>4230399.99</v>
      </c>
      <c r="R92" s="637">
        <v>291641.65999999997</v>
      </c>
      <c r="S92" s="637">
        <v>2733500.92</v>
      </c>
      <c r="T92" s="637">
        <v>3161924.98</v>
      </c>
      <c r="U92" s="637">
        <v>428424.06</v>
      </c>
      <c r="V92" s="637">
        <v>13.5494694753953</v>
      </c>
      <c r="W92" s="637">
        <v>4230399.99</v>
      </c>
    </row>
    <row r="93" spans="1:23" x14ac:dyDescent="0.2">
      <c r="A93" s="656" t="s">
        <v>1879</v>
      </c>
      <c r="B93" s="637">
        <v>-83158.990000000005</v>
      </c>
      <c r="C93" s="637">
        <v>-54600</v>
      </c>
      <c r="D93" s="637">
        <v>-54700</v>
      </c>
      <c r="E93" s="637">
        <v>-4550</v>
      </c>
      <c r="F93" s="637">
        <v>-45500</v>
      </c>
      <c r="G93" s="637">
        <v>-45542.87</v>
      </c>
      <c r="H93" s="637">
        <v>-42.87</v>
      </c>
      <c r="I93" s="637">
        <v>-9.4131090113556803E-2</v>
      </c>
      <c r="J93" s="637">
        <v>-54700</v>
      </c>
      <c r="N93" s="656" t="s">
        <v>1879</v>
      </c>
      <c r="O93" s="637">
        <v>8049083.46</v>
      </c>
      <c r="P93" s="637">
        <v>10394900</v>
      </c>
      <c r="Q93" s="637">
        <v>9994400.0099999998</v>
      </c>
      <c r="R93" s="637">
        <v>927063.08</v>
      </c>
      <c r="S93" s="637">
        <v>7806593.4400000004</v>
      </c>
      <c r="T93" s="637">
        <v>7969453.5700000003</v>
      </c>
      <c r="U93" s="637">
        <v>162860.13</v>
      </c>
      <c r="V93" s="637">
        <v>2.04355453695177</v>
      </c>
      <c r="W93" s="637">
        <v>9994400.0099999998</v>
      </c>
    </row>
    <row r="94" spans="1:23" x14ac:dyDescent="0.2">
      <c r="A94" s="656" t="s">
        <v>1880</v>
      </c>
      <c r="B94" s="637">
        <v>-22418.43</v>
      </c>
      <c r="C94" s="637">
        <v>-27300</v>
      </c>
      <c r="D94" s="637">
        <v>-27500</v>
      </c>
      <c r="E94" s="637">
        <v>-2275</v>
      </c>
      <c r="F94" s="637">
        <v>-22773.31</v>
      </c>
      <c r="G94" s="637">
        <v>-22846.18</v>
      </c>
      <c r="H94" s="637">
        <v>-72.87</v>
      </c>
      <c r="I94" s="637">
        <v>-0.31895923082108302</v>
      </c>
      <c r="J94" s="637">
        <v>-27500</v>
      </c>
      <c r="N94" s="656" t="s">
        <v>1880</v>
      </c>
      <c r="O94" s="637">
        <v>4255876.99</v>
      </c>
      <c r="P94" s="637">
        <v>4662800</v>
      </c>
      <c r="Q94" s="637">
        <v>4549300.01</v>
      </c>
      <c r="R94" s="637">
        <v>325477.99</v>
      </c>
      <c r="S94" s="637">
        <v>3395074.87</v>
      </c>
      <c r="T94" s="637">
        <v>3466297.99</v>
      </c>
      <c r="U94" s="637">
        <v>71223.12</v>
      </c>
      <c r="V94" s="637">
        <v>2.0547315956525698</v>
      </c>
      <c r="W94" s="637">
        <v>4549300.01</v>
      </c>
    </row>
    <row r="95" spans="1:23" x14ac:dyDescent="0.2">
      <c r="A95" s="656" t="s">
        <v>1881</v>
      </c>
      <c r="B95" s="637">
        <v>-82044.240000000005</v>
      </c>
      <c r="C95" s="637">
        <v>-54600</v>
      </c>
      <c r="D95" s="637">
        <v>-54700</v>
      </c>
      <c r="E95" s="637">
        <v>-4550</v>
      </c>
      <c r="F95" s="637">
        <v>-45500</v>
      </c>
      <c r="G95" s="637">
        <v>-45542.87</v>
      </c>
      <c r="H95" s="637">
        <v>-42.87</v>
      </c>
      <c r="I95" s="637">
        <v>-9.4131090113556803E-2</v>
      </c>
      <c r="J95" s="637">
        <v>-54700</v>
      </c>
      <c r="N95" s="656" t="s">
        <v>1881</v>
      </c>
      <c r="O95" s="637">
        <v>6612704.25</v>
      </c>
      <c r="P95" s="637">
        <v>8502000</v>
      </c>
      <c r="Q95" s="637">
        <v>6754399.9900000002</v>
      </c>
      <c r="R95" s="637">
        <v>443059.92</v>
      </c>
      <c r="S95" s="637">
        <v>4879104.07</v>
      </c>
      <c r="T95" s="637">
        <v>5155793.0999999996</v>
      </c>
      <c r="U95" s="637">
        <v>276689.03000000003</v>
      </c>
      <c r="V95" s="637">
        <v>5.3665658150634501</v>
      </c>
      <c r="W95" s="637">
        <v>6754399.9900000002</v>
      </c>
    </row>
    <row r="96" spans="1:23" x14ac:dyDescent="0.2">
      <c r="A96" s="656" t="s">
        <v>1882</v>
      </c>
      <c r="B96" s="637">
        <v>-37214.74</v>
      </c>
      <c r="C96" s="637">
        <v>-27300</v>
      </c>
      <c r="D96" s="637">
        <v>-27400</v>
      </c>
      <c r="E96" s="637">
        <v>-2275</v>
      </c>
      <c r="F96" s="637">
        <v>-22750</v>
      </c>
      <c r="G96" s="637">
        <v>-22792.87</v>
      </c>
      <c r="H96" s="637">
        <v>-42.87</v>
      </c>
      <c r="I96" s="637">
        <v>-0.18808513364047599</v>
      </c>
      <c r="J96" s="637">
        <v>-27400</v>
      </c>
      <c r="N96" s="656" t="s">
        <v>1882</v>
      </c>
      <c r="O96" s="637">
        <v>-203128.26</v>
      </c>
      <c r="P96" s="637">
        <v>27200</v>
      </c>
      <c r="Q96" s="637">
        <v>2456574.96</v>
      </c>
      <c r="R96" s="637">
        <v>-39277.47</v>
      </c>
      <c r="S96" s="637">
        <v>1292008.8600000001</v>
      </c>
      <c r="T96" s="637">
        <v>1685294.28</v>
      </c>
      <c r="U96" s="637">
        <v>393285.42</v>
      </c>
      <c r="V96" s="637">
        <v>23.336305395874199</v>
      </c>
      <c r="W96" s="637">
        <v>2456574.96</v>
      </c>
    </row>
    <row r="97" spans="1:23" x14ac:dyDescent="0.2">
      <c r="A97" s="656" t="s">
        <v>1883</v>
      </c>
      <c r="B97" s="637">
        <v>-78944.240000000005</v>
      </c>
      <c r="C97" s="637">
        <v>-27300</v>
      </c>
      <c r="D97" s="637">
        <v>-27400</v>
      </c>
      <c r="E97" s="637">
        <v>-2275</v>
      </c>
      <c r="F97" s="637">
        <v>-22750</v>
      </c>
      <c r="G97" s="637">
        <v>-22792.87</v>
      </c>
      <c r="H97" s="637">
        <v>-42.87</v>
      </c>
      <c r="I97" s="637">
        <v>-0.18808513364047599</v>
      </c>
      <c r="J97" s="637">
        <v>-27400</v>
      </c>
      <c r="N97" s="656" t="s">
        <v>1883</v>
      </c>
      <c r="O97" s="637">
        <v>4445747.21</v>
      </c>
      <c r="P97" s="637">
        <v>4232600</v>
      </c>
      <c r="Q97" s="637">
        <v>4990700.01</v>
      </c>
      <c r="R97" s="637">
        <v>525165.26</v>
      </c>
      <c r="S97" s="637">
        <v>4088813.27</v>
      </c>
      <c r="T97" s="637">
        <v>4400535.53</v>
      </c>
      <c r="U97" s="637">
        <v>311722.26</v>
      </c>
      <c r="V97" s="637">
        <v>7.0837346471782698</v>
      </c>
      <c r="W97" s="637">
        <v>4990700.01</v>
      </c>
    </row>
    <row r="98" spans="1:23" x14ac:dyDescent="0.2">
      <c r="A98" s="656" t="s">
        <v>1884</v>
      </c>
      <c r="B98" s="637">
        <v>-2766273.72</v>
      </c>
      <c r="C98" s="637">
        <v>-3106200</v>
      </c>
      <c r="D98" s="637">
        <v>-3435300</v>
      </c>
      <c r="E98" s="637">
        <v>-412574.67</v>
      </c>
      <c r="F98" s="637">
        <v>-3191636.77</v>
      </c>
      <c r="G98" s="637">
        <v>-2350807.7999999998</v>
      </c>
      <c r="H98" s="637">
        <v>840828.97</v>
      </c>
      <c r="I98" s="637">
        <v>35.7676612269195</v>
      </c>
      <c r="J98" s="637">
        <v>-3435300</v>
      </c>
      <c r="N98" s="656" t="s">
        <v>1884</v>
      </c>
      <c r="O98" s="637">
        <v>9178712.4800000004</v>
      </c>
      <c r="P98" s="637">
        <v>9689700</v>
      </c>
      <c r="Q98" s="637">
        <v>9098772.8399999999</v>
      </c>
      <c r="R98" s="637">
        <v>441014.92</v>
      </c>
      <c r="S98" s="637">
        <v>5831580.8899999997</v>
      </c>
      <c r="T98" s="637">
        <v>6972807.0599999996</v>
      </c>
      <c r="U98" s="637">
        <v>1141226.17</v>
      </c>
      <c r="V98" s="637">
        <v>16.366811245168702</v>
      </c>
      <c r="W98" s="637">
        <v>9098772.8399999999</v>
      </c>
    </row>
    <row r="99" spans="1:23" x14ac:dyDescent="0.2">
      <c r="A99" s="656" t="s">
        <v>1885</v>
      </c>
      <c r="B99" s="637">
        <v>-100052.63</v>
      </c>
      <c r="C99" s="637">
        <v>-54700</v>
      </c>
      <c r="D99" s="637">
        <v>-54800</v>
      </c>
      <c r="E99" s="637">
        <v>-4564.75</v>
      </c>
      <c r="F99" s="637">
        <v>-45539.85</v>
      </c>
      <c r="G99" s="637">
        <v>-45667.97</v>
      </c>
      <c r="H99" s="637">
        <v>-128.12</v>
      </c>
      <c r="I99" s="637">
        <v>-0.28054673768069799</v>
      </c>
      <c r="J99" s="637">
        <v>-54800</v>
      </c>
      <c r="N99" s="656" t="s">
        <v>1885</v>
      </c>
      <c r="O99" s="637">
        <v>7208462.8499999996</v>
      </c>
      <c r="P99" s="637">
        <v>8310000</v>
      </c>
      <c r="Q99" s="637">
        <v>7907100</v>
      </c>
      <c r="R99" s="637">
        <v>598439.34</v>
      </c>
      <c r="S99" s="637">
        <v>6059871.4400000004</v>
      </c>
      <c r="T99" s="637">
        <v>6151783.4199999999</v>
      </c>
      <c r="U99" s="637">
        <v>91911.98</v>
      </c>
      <c r="V99" s="637">
        <v>1.4940704788335999</v>
      </c>
      <c r="W99" s="637">
        <v>7907100</v>
      </c>
    </row>
    <row r="100" spans="1:23" x14ac:dyDescent="0.2">
      <c r="A100" s="656" t="s">
        <v>1886</v>
      </c>
      <c r="B100" s="637">
        <v>-80453.100000000006</v>
      </c>
      <c r="C100" s="637">
        <v>-27400</v>
      </c>
      <c r="D100" s="637">
        <v>-27500</v>
      </c>
      <c r="E100" s="637">
        <v>-2275</v>
      </c>
      <c r="F100" s="637">
        <v>-22773.07</v>
      </c>
      <c r="G100" s="637">
        <v>-22915.94</v>
      </c>
      <c r="H100" s="637">
        <v>-142.87</v>
      </c>
      <c r="I100" s="637">
        <v>-0.62345249638461298</v>
      </c>
      <c r="J100" s="637">
        <v>-27500</v>
      </c>
      <c r="N100" s="656" t="s">
        <v>1886</v>
      </c>
      <c r="O100" s="637">
        <v>4608453.26</v>
      </c>
      <c r="P100" s="637">
        <v>6210400</v>
      </c>
      <c r="Q100" s="637">
        <v>5994702.1900000004</v>
      </c>
      <c r="R100" s="637">
        <v>293672.25</v>
      </c>
      <c r="S100" s="637">
        <v>2989788.08</v>
      </c>
      <c r="T100" s="637">
        <v>3712548.89</v>
      </c>
      <c r="U100" s="637">
        <v>722760.81</v>
      </c>
      <c r="V100" s="637">
        <v>19.4680482712781</v>
      </c>
      <c r="W100" s="637">
        <v>5994702.1900000004</v>
      </c>
    </row>
    <row r="101" spans="1:23" x14ac:dyDescent="0.2">
      <c r="A101" s="656" t="s">
        <v>1887</v>
      </c>
      <c r="B101" s="637">
        <v>-98355.01</v>
      </c>
      <c r="C101" s="637">
        <v>-27400</v>
      </c>
      <c r="D101" s="637">
        <v>-27500</v>
      </c>
      <c r="E101" s="637">
        <v>-2275</v>
      </c>
      <c r="F101" s="637">
        <v>-22750</v>
      </c>
      <c r="G101" s="637">
        <v>-22892.87</v>
      </c>
      <c r="H101" s="637">
        <v>-142.87</v>
      </c>
      <c r="I101" s="637">
        <v>-0.62408077274714802</v>
      </c>
      <c r="J101" s="637">
        <v>-27500</v>
      </c>
      <c r="N101" s="656" t="s">
        <v>1887</v>
      </c>
      <c r="O101" s="637">
        <v>351616.26</v>
      </c>
      <c r="P101" s="637">
        <v>175900</v>
      </c>
      <c r="Q101" s="637">
        <v>191500</v>
      </c>
      <c r="R101" s="637">
        <v>1460301.76</v>
      </c>
      <c r="S101" s="637">
        <v>-970255.13</v>
      </c>
      <c r="T101" s="637">
        <v>-3964938.69</v>
      </c>
      <c r="U101" s="637">
        <v>-2994683.56</v>
      </c>
      <c r="V101" s="637">
        <v>-75.529126529822804</v>
      </c>
      <c r="W101" s="637">
        <v>191500</v>
      </c>
    </row>
    <row r="102" spans="1:23" x14ac:dyDescent="0.2">
      <c r="A102" s="656" t="s">
        <v>1888</v>
      </c>
      <c r="B102" s="637">
        <v>-24229.49</v>
      </c>
      <c r="C102" s="637"/>
      <c r="D102" s="637"/>
      <c r="E102" s="637"/>
      <c r="F102" s="637"/>
      <c r="G102" s="637"/>
      <c r="H102" s="637"/>
      <c r="I102" s="637"/>
      <c r="J102" s="637"/>
      <c r="N102" s="656" t="s">
        <v>1888</v>
      </c>
      <c r="O102" s="637">
        <v>2075885.14</v>
      </c>
      <c r="P102" s="637">
        <v>3349800</v>
      </c>
      <c r="Q102" s="637">
        <v>977500</v>
      </c>
      <c r="R102" s="637">
        <v>104408.58</v>
      </c>
      <c r="S102" s="637">
        <v>787363.36</v>
      </c>
      <c r="T102" s="637">
        <v>818166.96</v>
      </c>
      <c r="U102" s="637">
        <v>30803.599999999999</v>
      </c>
      <c r="V102" s="637">
        <v>3.7649528159875798</v>
      </c>
      <c r="W102" s="637">
        <v>977500</v>
      </c>
    </row>
    <row r="103" spans="1:23" x14ac:dyDescent="0.2">
      <c r="A103" s="656" t="s">
        <v>1889</v>
      </c>
      <c r="B103" s="637">
        <v>-90744.24</v>
      </c>
      <c r="C103" s="637"/>
      <c r="D103" s="637"/>
      <c r="E103" s="637"/>
      <c r="F103" s="637"/>
      <c r="G103" s="637"/>
      <c r="H103" s="637"/>
      <c r="I103" s="637"/>
      <c r="J103" s="637"/>
      <c r="N103" s="656" t="s">
        <v>1889</v>
      </c>
      <c r="O103" s="637">
        <v>2662247.11</v>
      </c>
      <c r="P103" s="637">
        <v>3422700</v>
      </c>
      <c r="Q103" s="637">
        <v>2997900</v>
      </c>
      <c r="R103" s="637">
        <v>246162.82</v>
      </c>
      <c r="S103" s="637">
        <v>2530118.52</v>
      </c>
      <c r="T103" s="637">
        <v>2541934.19</v>
      </c>
      <c r="U103" s="637">
        <v>11815.67</v>
      </c>
      <c r="V103" s="637">
        <v>0.46482989396354102</v>
      </c>
      <c r="W103" s="637">
        <v>2997900</v>
      </c>
    </row>
    <row r="104" spans="1:23" x14ac:dyDescent="0.2">
      <c r="A104" s="639" t="s">
        <v>1890</v>
      </c>
      <c r="B104" s="637">
        <v>-195317.97</v>
      </c>
      <c r="C104" s="637">
        <v>-96000</v>
      </c>
      <c r="D104" s="637">
        <v>-96200</v>
      </c>
      <c r="E104" s="637">
        <v>-7958.34</v>
      </c>
      <c r="F104" s="637">
        <v>-79583.399999999994</v>
      </c>
      <c r="G104" s="637">
        <v>-79669.08</v>
      </c>
      <c r="H104" s="637">
        <v>-85.68</v>
      </c>
      <c r="I104" s="637">
        <v>-0.107544859310538</v>
      </c>
      <c r="J104" s="637">
        <v>-96200</v>
      </c>
      <c r="N104" s="639" t="s">
        <v>1890</v>
      </c>
      <c r="O104" s="637">
        <v>12856189.609999999</v>
      </c>
      <c r="P104" s="637">
        <v>0</v>
      </c>
      <c r="Q104" s="637">
        <v>-1581899.99</v>
      </c>
      <c r="R104" s="637">
        <v>-415645.22</v>
      </c>
      <c r="S104" s="637">
        <v>-2384217.7400000002</v>
      </c>
      <c r="T104" s="637">
        <v>-1894975.19</v>
      </c>
      <c r="U104" s="637">
        <v>489242.55</v>
      </c>
      <c r="V104" s="637">
        <v>25.817886829431298</v>
      </c>
      <c r="W104" s="637">
        <v>-1581899.99</v>
      </c>
    </row>
    <row r="105" spans="1:23" x14ac:dyDescent="0.2">
      <c r="A105" s="656" t="s">
        <v>1891</v>
      </c>
      <c r="B105" s="637">
        <v>-195317.97</v>
      </c>
      <c r="C105" s="637">
        <v>-96000</v>
      </c>
      <c r="D105" s="637">
        <v>-96200</v>
      </c>
      <c r="E105" s="637">
        <v>-7958.34</v>
      </c>
      <c r="F105" s="637">
        <v>-79583.399999999994</v>
      </c>
      <c r="G105" s="637">
        <v>-79669.08</v>
      </c>
      <c r="H105" s="637">
        <v>-85.68</v>
      </c>
      <c r="I105" s="637">
        <v>-0.107544859310538</v>
      </c>
      <c r="J105" s="637">
        <v>-96200</v>
      </c>
      <c r="N105" s="656" t="s">
        <v>1891</v>
      </c>
      <c r="O105" s="637">
        <v>12856189.609999999</v>
      </c>
      <c r="P105" s="637">
        <v>0</v>
      </c>
      <c r="Q105" s="637">
        <v>-1581899.99</v>
      </c>
      <c r="R105" s="637">
        <v>-415645.22</v>
      </c>
      <c r="S105" s="637">
        <v>-2384217.7400000002</v>
      </c>
      <c r="T105" s="637">
        <v>-1894975.19</v>
      </c>
      <c r="U105" s="637">
        <v>489242.55</v>
      </c>
      <c r="V105" s="637">
        <v>25.817886829431298</v>
      </c>
      <c r="W105" s="637">
        <v>-1581899.99</v>
      </c>
    </row>
    <row r="106" spans="1:23" x14ac:dyDescent="0.2">
      <c r="A106" s="639" t="s">
        <v>1892</v>
      </c>
      <c r="B106" s="637">
        <v>-802116.38</v>
      </c>
      <c r="C106" s="637">
        <v>-3894900</v>
      </c>
      <c r="D106" s="637">
        <v>-3895200</v>
      </c>
      <c r="E106" s="637">
        <v>-115941.66</v>
      </c>
      <c r="F106" s="637">
        <v>-1159200.8899999999</v>
      </c>
      <c r="G106" s="637">
        <v>-1779910.33</v>
      </c>
      <c r="H106" s="637">
        <v>-620709.43999999994</v>
      </c>
      <c r="I106" s="637">
        <v>-34.873073633995901</v>
      </c>
      <c r="J106" s="637">
        <v>-3895200</v>
      </c>
      <c r="N106" s="639" t="s">
        <v>1892</v>
      </c>
      <c r="O106" s="637">
        <v>15930861.960000001</v>
      </c>
      <c r="P106" s="637">
        <v>15989800</v>
      </c>
      <c r="Q106" s="637">
        <v>17818748.640000001</v>
      </c>
      <c r="R106" s="637">
        <v>903023.62</v>
      </c>
      <c r="S106" s="637">
        <v>12972311.779999999</v>
      </c>
      <c r="T106" s="637">
        <v>12787582.550000001</v>
      </c>
      <c r="U106" s="637">
        <v>-184729.23</v>
      </c>
      <c r="V106" s="637">
        <v>-3.8489474786994</v>
      </c>
      <c r="W106" s="637">
        <v>17818748.640000001</v>
      </c>
    </row>
    <row r="107" spans="1:23" x14ac:dyDescent="0.2">
      <c r="A107" s="656" t="s">
        <v>1893</v>
      </c>
      <c r="B107" s="637">
        <v>-675083.29</v>
      </c>
      <c r="C107" s="637">
        <v>-3160300</v>
      </c>
      <c r="D107" s="637">
        <v>-3160500</v>
      </c>
      <c r="E107" s="637">
        <v>-54684.76</v>
      </c>
      <c r="F107" s="637">
        <v>-546993.96</v>
      </c>
      <c r="G107" s="637">
        <v>-1167700.79</v>
      </c>
      <c r="H107" s="637">
        <v>-620706.82999999996</v>
      </c>
      <c r="I107" s="637">
        <v>-53.156325260343401</v>
      </c>
      <c r="J107" s="637">
        <v>-3160500</v>
      </c>
      <c r="N107" s="656" t="s">
        <v>1893</v>
      </c>
      <c r="O107" s="637">
        <v>-2159984.4500000002</v>
      </c>
      <c r="P107" s="637">
        <v>-4873000</v>
      </c>
      <c r="Q107" s="637">
        <v>-6522173.7699999996</v>
      </c>
      <c r="R107" s="637">
        <v>-1076245.23</v>
      </c>
      <c r="S107" s="637">
        <v>-6727519.0099999998</v>
      </c>
      <c r="T107" s="637">
        <v>-7046385.4000000004</v>
      </c>
      <c r="U107" s="637">
        <v>-318866.39</v>
      </c>
      <c r="V107" s="637">
        <v>-4.5252476539247999</v>
      </c>
      <c r="W107" s="637">
        <v>-6522173.7699999996</v>
      </c>
    </row>
    <row r="108" spans="1:23" x14ac:dyDescent="0.2">
      <c r="A108" s="656" t="s">
        <v>1894</v>
      </c>
      <c r="B108" s="637">
        <v>-127033.09</v>
      </c>
      <c r="C108" s="637">
        <v>-734600</v>
      </c>
      <c r="D108" s="637">
        <v>-734700</v>
      </c>
      <c r="E108" s="637">
        <v>-61256.9</v>
      </c>
      <c r="F108" s="637">
        <v>-612206.93000000005</v>
      </c>
      <c r="G108" s="637">
        <v>-612209.54</v>
      </c>
      <c r="H108" s="637">
        <v>-2.61</v>
      </c>
      <c r="I108" s="637">
        <v>-4.2632462081528498E-4</v>
      </c>
      <c r="J108" s="637">
        <v>-734700</v>
      </c>
      <c r="N108" s="656" t="s">
        <v>1894</v>
      </c>
      <c r="O108" s="637">
        <v>18090846.41</v>
      </c>
      <c r="P108" s="637">
        <v>20862800</v>
      </c>
      <c r="Q108" s="637">
        <v>24340922.41</v>
      </c>
      <c r="R108" s="637">
        <v>1979268.85</v>
      </c>
      <c r="S108" s="637">
        <v>19699830.789999999</v>
      </c>
      <c r="T108" s="637">
        <v>19833967.949999999</v>
      </c>
      <c r="U108" s="637">
        <v>134137.16</v>
      </c>
      <c r="V108" s="637">
        <v>0.67630017522540198</v>
      </c>
      <c r="W108" s="637">
        <v>24340922.41</v>
      </c>
    </row>
    <row r="109" spans="1:23" x14ac:dyDescent="0.2">
      <c r="A109" s="638" t="s">
        <v>1895</v>
      </c>
      <c r="B109" s="637">
        <v>-5266009224.5299997</v>
      </c>
      <c r="C109" s="637">
        <v>-5818454800</v>
      </c>
      <c r="D109" s="637">
        <v>-5565047847</v>
      </c>
      <c r="E109" s="637">
        <v>-386113216.23000002</v>
      </c>
      <c r="F109" s="637">
        <v>-4617495441.3999996</v>
      </c>
      <c r="G109" s="637">
        <v>-4623794000.7799997</v>
      </c>
      <c r="H109" s="637">
        <v>-6298559.3799999999</v>
      </c>
      <c r="I109" s="637">
        <v>-0.13622058809145601</v>
      </c>
      <c r="J109" s="637">
        <v>-5565047847</v>
      </c>
      <c r="N109" s="638" t="s">
        <v>1895</v>
      </c>
      <c r="O109" s="637">
        <v>5256459078.2799997</v>
      </c>
      <c r="P109" s="637">
        <v>5589918300</v>
      </c>
      <c r="Q109" s="637">
        <v>5623917106.25</v>
      </c>
      <c r="R109" s="637">
        <v>380803362.14999998</v>
      </c>
      <c r="S109" s="637">
        <v>4535002739.8299999</v>
      </c>
      <c r="T109" s="637">
        <v>4582997169.0500002</v>
      </c>
      <c r="U109" s="637">
        <v>47994429.219999999</v>
      </c>
      <c r="V109" s="637">
        <v>951.33068625658098</v>
      </c>
      <c r="W109" s="637">
        <v>5623917106.25</v>
      </c>
    </row>
  </sheetData>
  <pageMargins left="0.7" right="0.7" top="0.75" bottom="0.75" header="0.3" footer="0.3"/>
  <customProperties>
    <customPr name="_pios_id" r:id="rId1"/>
    <customPr name="CofWorksheetType"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V105"/>
  <sheetViews>
    <sheetView showGridLines="0" zoomScaleNormal="100" workbookViewId="0">
      <pane xSplit="2" ySplit="4" topLeftCell="C5" activePane="bottomRight" state="frozen"/>
      <selection activeCell="E10" sqref="E10"/>
      <selection pane="topRight" activeCell="E10" sqref="E10"/>
      <selection pane="bottomLeft" activeCell="E10" sqref="E10"/>
      <selection pane="bottomRight" sqref="A1:K1"/>
    </sheetView>
  </sheetViews>
  <sheetFormatPr defaultColWidth="9.28515625" defaultRowHeight="12.75" x14ac:dyDescent="0.25"/>
  <cols>
    <col min="1" max="1" width="35.7109375" style="21" customWidth="1"/>
    <col min="2" max="2" width="3.28515625" style="47" customWidth="1"/>
    <col min="3" max="8" width="8.7109375" style="21" customWidth="1"/>
    <col min="9"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ht="13.5" x14ac:dyDescent="0.25">
      <c r="A1" s="848" t="str">
        <f>muni&amp; " - "&amp;S71B&amp; " - "&amp;date</f>
        <v>KZN282 uMhlathuze - Table C4 Monthly Budget Statement - Financial Performance (revenue and expenditure) - M10 April</v>
      </c>
      <c r="B1" s="848"/>
      <c r="C1" s="848"/>
      <c r="D1" s="848"/>
      <c r="E1" s="848"/>
      <c r="F1" s="848"/>
      <c r="G1" s="848"/>
      <c r="H1" s="848"/>
      <c r="I1" s="848"/>
      <c r="J1" s="848"/>
      <c r="K1" s="848"/>
    </row>
    <row r="2" spans="1:11" x14ac:dyDescent="0.25">
      <c r="A2" s="837" t="str">
        <f>desc</f>
        <v>Description</v>
      </c>
      <c r="B2" s="846" t="str">
        <f>head27</f>
        <v>Ref</v>
      </c>
      <c r="C2" s="83" t="str">
        <f>Head1</f>
        <v>2023/24</v>
      </c>
      <c r="D2" s="832" t="str">
        <f>Head2</f>
        <v>Budget Year 2024/25</v>
      </c>
      <c r="E2" s="833"/>
      <c r="F2" s="833"/>
      <c r="G2" s="833"/>
      <c r="H2" s="833"/>
      <c r="I2" s="833"/>
      <c r="J2" s="833"/>
      <c r="K2" s="834"/>
    </row>
    <row r="3" spans="1:11" ht="25.5" x14ac:dyDescent="0.25">
      <c r="A3" s="838"/>
      <c r="B3" s="847"/>
      <c r="C3" s="84" t="str">
        <f>Head5</f>
        <v>Audited Outcome</v>
      </c>
      <c r="D3" s="100"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28" t="s">
        <v>615</v>
      </c>
      <c r="B4" s="192"/>
      <c r="C4" s="93"/>
      <c r="D4" s="134"/>
      <c r="E4" s="135"/>
      <c r="F4" s="57"/>
      <c r="G4" s="57"/>
      <c r="H4" s="57"/>
      <c r="I4" s="57"/>
      <c r="J4" s="324" t="s">
        <v>528</v>
      </c>
      <c r="K4" s="120"/>
    </row>
    <row r="5" spans="1:11" ht="12.75" customHeight="1" x14ac:dyDescent="0.25">
      <c r="A5" s="92" t="s">
        <v>1280</v>
      </c>
      <c r="B5" s="213"/>
      <c r="C5" s="377"/>
      <c r="D5" s="378"/>
      <c r="E5" s="325"/>
      <c r="F5" s="325"/>
      <c r="G5" s="325"/>
      <c r="H5" s="325"/>
      <c r="I5" s="325"/>
      <c r="J5" s="325"/>
      <c r="K5" s="121"/>
    </row>
    <row r="6" spans="1:11" ht="12.75" customHeight="1" x14ac:dyDescent="0.25">
      <c r="A6" s="59" t="s">
        <v>1281</v>
      </c>
      <c r="B6" s="193"/>
      <c r="C6" s="340"/>
      <c r="D6" s="131"/>
      <c r="E6" s="132"/>
      <c r="F6" s="201"/>
      <c r="G6" s="132"/>
      <c r="H6" s="132"/>
      <c r="I6" s="132"/>
      <c r="J6" s="132"/>
      <c r="K6" s="133"/>
    </row>
    <row r="7" spans="1:11" ht="11.25" customHeight="1" x14ac:dyDescent="0.25">
      <c r="A7" s="30" t="s">
        <v>1282</v>
      </c>
      <c r="B7" s="193"/>
      <c r="C7" s="366">
        <f>-'C4Q'!B6</f>
        <v>2025106963.6700001</v>
      </c>
      <c r="D7" s="366">
        <f>-'C4Q'!C6</f>
        <v>2542822400</v>
      </c>
      <c r="E7" s="331">
        <f>-'C4Q'!D6</f>
        <v>2348456700</v>
      </c>
      <c r="F7" s="331">
        <f>-'C4Q'!E6</f>
        <v>189718855.43000001</v>
      </c>
      <c r="G7" s="331">
        <f>-'C4Q'!F6</f>
        <v>1934303167.9400001</v>
      </c>
      <c r="H7" s="331">
        <f>-'C4Q'!G6</f>
        <v>1894626315.8900001</v>
      </c>
      <c r="I7" s="713">
        <f t="shared" ref="I7:I65" si="0">G7-H7</f>
        <v>39676852.049999952</v>
      </c>
      <c r="J7" s="385">
        <f t="shared" ref="J7:J65" si="1">IF(I7=0,"",I7/H7)</f>
        <v>2.0941782407029305E-2</v>
      </c>
      <c r="K7" s="367">
        <f>-'C4Q'!J6</f>
        <v>2348456700</v>
      </c>
    </row>
    <row r="8" spans="1:11" ht="11.25" customHeight="1" x14ac:dyDescent="0.25">
      <c r="A8" s="30" t="s">
        <v>1283</v>
      </c>
      <c r="B8" s="193"/>
      <c r="C8" s="366">
        <f>-'C4Q'!B7</f>
        <v>562175951.11000001</v>
      </c>
      <c r="D8" s="366">
        <f>-'C4Q'!C7</f>
        <v>643500000</v>
      </c>
      <c r="E8" s="331">
        <f>-'C4Q'!D7</f>
        <v>572907000</v>
      </c>
      <c r="F8" s="331">
        <f>-'C4Q'!E7</f>
        <v>46387181</v>
      </c>
      <c r="G8" s="331">
        <f>-'C4Q'!F7</f>
        <v>466292870.76999998</v>
      </c>
      <c r="H8" s="331">
        <f>-'C4Q'!G7</f>
        <v>468433851.73000002</v>
      </c>
      <c r="I8" s="713">
        <f t="shared" si="0"/>
        <v>-2140980.9600000381</v>
      </c>
      <c r="J8" s="385">
        <f t="shared" si="1"/>
        <v>-4.5705086259096306E-3</v>
      </c>
      <c r="K8" s="367">
        <f>-'C4Q'!J7</f>
        <v>572907000</v>
      </c>
    </row>
    <row r="9" spans="1:11" ht="11.25" customHeight="1" x14ac:dyDescent="0.25">
      <c r="A9" s="30" t="s">
        <v>1284</v>
      </c>
      <c r="B9" s="193"/>
      <c r="C9" s="366">
        <f>-'C4Q'!B8</f>
        <v>121497290.13</v>
      </c>
      <c r="D9" s="366">
        <f>-'C4Q'!C8</f>
        <v>132281600</v>
      </c>
      <c r="E9" s="331">
        <f>-'C4Q'!D8</f>
        <v>132281600</v>
      </c>
      <c r="F9" s="331">
        <f>-'C4Q'!E8</f>
        <v>11178123.380000001</v>
      </c>
      <c r="G9" s="331">
        <f>-'C4Q'!F8</f>
        <v>112129102.98999999</v>
      </c>
      <c r="H9" s="331">
        <f>-'C4Q'!G8</f>
        <v>113776559.43000001</v>
      </c>
      <c r="I9" s="713">
        <f t="shared" si="0"/>
        <v>-1647456.4400000125</v>
      </c>
      <c r="J9" s="385">
        <f t="shared" si="1"/>
        <v>-1.4479752668330554E-2</v>
      </c>
      <c r="K9" s="367">
        <f>-'C4Q'!J8</f>
        <v>132281600</v>
      </c>
    </row>
    <row r="10" spans="1:11" ht="11.25" customHeight="1" x14ac:dyDescent="0.25">
      <c r="A10" s="30" t="s">
        <v>1285</v>
      </c>
      <c r="B10" s="193"/>
      <c r="C10" s="366">
        <f>-'C4Q'!B9</f>
        <v>117337974.23</v>
      </c>
      <c r="D10" s="366">
        <f>-'C4Q'!C9</f>
        <v>120401900</v>
      </c>
      <c r="E10" s="331">
        <f>-'C4Q'!D9</f>
        <v>120401900</v>
      </c>
      <c r="F10" s="331">
        <f>-'C4Q'!E9</f>
        <v>10440059.050000001</v>
      </c>
      <c r="G10" s="331">
        <f>-'C4Q'!F9</f>
        <v>103922803.01000001</v>
      </c>
      <c r="H10" s="331">
        <f>-'C4Q'!G9</f>
        <v>102884863.06999999</v>
      </c>
      <c r="I10" s="713">
        <f t="shared" si="0"/>
        <v>1037939.9400000125</v>
      </c>
      <c r="J10" s="385">
        <f t="shared" si="1"/>
        <v>1.0088363915047709E-2</v>
      </c>
      <c r="K10" s="367">
        <f>-'C4Q'!J9</f>
        <v>120401900</v>
      </c>
    </row>
    <row r="11" spans="1:11" ht="13.15" customHeight="1" x14ac:dyDescent="0.25">
      <c r="A11" s="30" t="s">
        <v>1286</v>
      </c>
      <c r="B11" s="193"/>
      <c r="C11" s="366">
        <f>-'C4Q'!B10</f>
        <v>141092067.03</v>
      </c>
      <c r="D11" s="366">
        <f>-'C4Q'!C10</f>
        <v>75525600</v>
      </c>
      <c r="E11" s="331">
        <f>-'C4Q'!D10</f>
        <v>76627247</v>
      </c>
      <c r="F11" s="331">
        <f>-'C4Q'!E10</f>
        <v>1085658.57</v>
      </c>
      <c r="G11" s="331">
        <f>-'C4Q'!F10</f>
        <v>24239532.59</v>
      </c>
      <c r="H11" s="331">
        <f>-'C4Q'!G10</f>
        <v>38659540.060000002</v>
      </c>
      <c r="I11" s="713">
        <f t="shared" si="0"/>
        <v>-14420007.470000003</v>
      </c>
      <c r="J11" s="385">
        <f t="shared" si="1"/>
        <v>-0.37299997484760561</v>
      </c>
      <c r="K11" s="367">
        <f>-'C4Q'!J10</f>
        <v>76627247</v>
      </c>
    </row>
    <row r="12" spans="1:11" ht="11.25" customHeight="1" x14ac:dyDescent="0.25">
      <c r="A12" s="30" t="s">
        <v>533</v>
      </c>
      <c r="B12" s="193"/>
      <c r="C12" s="366">
        <f>-'C4Q'!B11</f>
        <v>8948305.6899999995</v>
      </c>
      <c r="D12" s="366">
        <f>-'C4Q'!C11</f>
        <v>8364800</v>
      </c>
      <c r="E12" s="331">
        <f>-'C4Q'!D11</f>
        <v>8364800</v>
      </c>
      <c r="F12" s="331">
        <f>-'C4Q'!E11</f>
        <v>1669601.83</v>
      </c>
      <c r="G12" s="331">
        <f>-'C4Q'!F11</f>
        <v>8581497.8900000006</v>
      </c>
      <c r="H12" s="331">
        <f>-'C4Q'!G11</f>
        <v>7585869.5300000003</v>
      </c>
      <c r="I12" s="713">
        <f t="shared" si="0"/>
        <v>995628.36000000034</v>
      </c>
      <c r="J12" s="385">
        <f>IF(H12=0,"",I12/H12)</f>
        <v>0.13124775690678142</v>
      </c>
      <c r="K12" s="367">
        <f>-'C4Q'!J11</f>
        <v>8364800</v>
      </c>
    </row>
    <row r="13" spans="1:11" ht="11.25" customHeight="1" x14ac:dyDescent="0.25">
      <c r="A13" s="30" t="s">
        <v>817</v>
      </c>
      <c r="B13" s="193"/>
      <c r="C13" s="366">
        <f>-'C4Q'!B12</f>
        <v>0</v>
      </c>
      <c r="D13" s="366">
        <f>-'C4Q'!C12</f>
        <v>0</v>
      </c>
      <c r="E13" s="331">
        <f>-'C4Q'!D12</f>
        <v>0</v>
      </c>
      <c r="F13" s="331">
        <f>-'C4Q'!E12</f>
        <v>0</v>
      </c>
      <c r="G13" s="331">
        <f>-'C4Q'!F12</f>
        <v>0</v>
      </c>
      <c r="H13" s="331">
        <f>-'C4Q'!G12</f>
        <v>0</v>
      </c>
      <c r="I13" s="713">
        <f t="shared" si="0"/>
        <v>0</v>
      </c>
      <c r="J13" s="385" t="str">
        <f t="shared" ref="J13:J53" si="2">IF(H13=0,"",I13/H13)</f>
        <v/>
      </c>
      <c r="K13" s="367">
        <f>-'C4Q'!J12</f>
        <v>0</v>
      </c>
    </row>
    <row r="14" spans="1:11" ht="11.25" customHeight="1" x14ac:dyDescent="0.25">
      <c r="A14" s="30" t="s">
        <v>1287</v>
      </c>
      <c r="B14" s="193"/>
      <c r="C14" s="366">
        <f>-'C4Q'!B13</f>
        <v>1468.42</v>
      </c>
      <c r="D14" s="366">
        <f>-'C4Q'!C13</f>
        <v>29400</v>
      </c>
      <c r="E14" s="331">
        <f>-'C4Q'!D13</f>
        <v>29400</v>
      </c>
      <c r="F14" s="331">
        <f>-'C4Q'!E13</f>
        <v>0</v>
      </c>
      <c r="G14" s="331">
        <f>-'C4Q'!F13</f>
        <v>2131.54</v>
      </c>
      <c r="H14" s="331">
        <f>-'C4Q'!G13</f>
        <v>2131.54</v>
      </c>
      <c r="I14" s="713">
        <f t="shared" si="0"/>
        <v>0</v>
      </c>
      <c r="J14" s="385">
        <f t="shared" si="2"/>
        <v>0</v>
      </c>
      <c r="K14" s="367">
        <f>-'C4Q'!J13</f>
        <v>29400</v>
      </c>
    </row>
    <row r="15" spans="1:11" ht="11.25" customHeight="1" x14ac:dyDescent="0.25">
      <c r="A15" s="30" t="s">
        <v>1356</v>
      </c>
      <c r="B15" s="193"/>
      <c r="C15" s="366">
        <f>-'C4Q'!B14</f>
        <v>33923521.030000001</v>
      </c>
      <c r="D15" s="366">
        <f>-'C4Q'!C14</f>
        <v>45000000</v>
      </c>
      <c r="E15" s="331">
        <f>-'C4Q'!D14</f>
        <v>45000000</v>
      </c>
      <c r="F15" s="331">
        <f>-'C4Q'!E14</f>
        <v>3825416.8</v>
      </c>
      <c r="G15" s="331">
        <f>-'C4Q'!F14</f>
        <v>31388590.390000001</v>
      </c>
      <c r="H15" s="331">
        <f>-'C4Q'!G14</f>
        <v>32073672.690000001</v>
      </c>
      <c r="I15" s="713">
        <f t="shared" si="0"/>
        <v>-685082.30000000075</v>
      </c>
      <c r="J15" s="385">
        <f t="shared" si="2"/>
        <v>-2.1359646169039979E-2</v>
      </c>
      <c r="K15" s="367">
        <f>-'C4Q'!J14</f>
        <v>45000000</v>
      </c>
    </row>
    <row r="16" spans="1:11" ht="11.25" customHeight="1" x14ac:dyDescent="0.25">
      <c r="A16" s="30" t="s">
        <v>614</v>
      </c>
      <c r="B16" s="193"/>
      <c r="C16" s="366">
        <f>-'C4Q'!B15</f>
        <v>0</v>
      </c>
      <c r="D16" s="366">
        <f>-'C4Q'!C15</f>
        <v>0</v>
      </c>
      <c r="E16" s="331">
        <f>-'C4Q'!D15</f>
        <v>0</v>
      </c>
      <c r="F16" s="331">
        <f>-'C4Q'!E15</f>
        <v>0</v>
      </c>
      <c r="G16" s="331">
        <f>-'C4Q'!F15</f>
        <v>0</v>
      </c>
      <c r="H16" s="331">
        <f>-'C4Q'!G15</f>
        <v>0</v>
      </c>
      <c r="I16" s="713">
        <f t="shared" si="0"/>
        <v>0</v>
      </c>
      <c r="J16" s="385" t="str">
        <f t="shared" si="2"/>
        <v/>
      </c>
      <c r="K16" s="367">
        <f>-'C4Q'!J15</f>
        <v>0</v>
      </c>
    </row>
    <row r="17" spans="1:11" ht="11.25" customHeight="1" x14ac:dyDescent="0.25">
      <c r="A17" s="30" t="s">
        <v>1288</v>
      </c>
      <c r="B17" s="193"/>
      <c r="C17" s="366">
        <f>-'C4Q'!B16</f>
        <v>1925210.08</v>
      </c>
      <c r="D17" s="366">
        <f>-'C4Q'!C16</f>
        <v>1911700</v>
      </c>
      <c r="E17" s="331">
        <f>-'C4Q'!D16</f>
        <v>2811700</v>
      </c>
      <c r="F17" s="331">
        <f>-'C4Q'!E16</f>
        <v>181497.05</v>
      </c>
      <c r="G17" s="331">
        <f>-'C4Q'!F16</f>
        <v>1659085.51</v>
      </c>
      <c r="H17" s="331">
        <f>-'C4Q'!G16</f>
        <v>1866927.83</v>
      </c>
      <c r="I17" s="713">
        <f t="shared" si="0"/>
        <v>-207842.32000000007</v>
      </c>
      <c r="J17" s="385">
        <f t="shared" si="2"/>
        <v>-0.1113285241454674</v>
      </c>
      <c r="K17" s="367">
        <f>-'C4Q'!J16</f>
        <v>2811700</v>
      </c>
    </row>
    <row r="18" spans="1:11" ht="11.25" customHeight="1" x14ac:dyDescent="0.25">
      <c r="A18" s="30" t="s">
        <v>1289</v>
      </c>
      <c r="B18" s="193"/>
      <c r="C18" s="366">
        <f>-'C4Q'!B17</f>
        <v>15540676.9</v>
      </c>
      <c r="D18" s="366">
        <f>-'C4Q'!C17</f>
        <v>19840400</v>
      </c>
      <c r="E18" s="331">
        <f>-'C4Q'!D17</f>
        <v>16264500</v>
      </c>
      <c r="F18" s="331">
        <f>-'C4Q'!E17</f>
        <v>1048109.38</v>
      </c>
      <c r="G18" s="331">
        <f>-'C4Q'!F17</f>
        <v>10420407.41</v>
      </c>
      <c r="H18" s="331">
        <f>-'C4Q'!G17</f>
        <v>10494933.300000001</v>
      </c>
      <c r="I18" s="713">
        <f t="shared" si="0"/>
        <v>-74525.890000000596</v>
      </c>
      <c r="J18" s="385">
        <f t="shared" si="2"/>
        <v>-7.1011304092805042E-3</v>
      </c>
      <c r="K18" s="367">
        <f>-'C4Q'!J17</f>
        <v>16264500</v>
      </c>
    </row>
    <row r="19" spans="1:11" ht="11.25" customHeight="1" x14ac:dyDescent="0.25">
      <c r="A19" s="30" t="s">
        <v>1290</v>
      </c>
      <c r="B19" s="193"/>
      <c r="C19" s="366">
        <f>-'C4Q'!B18</f>
        <v>0</v>
      </c>
      <c r="D19" s="366">
        <f>-'C4Q'!C18</f>
        <v>0</v>
      </c>
      <c r="E19" s="331">
        <f>-'C4Q'!D18</f>
        <v>0</v>
      </c>
      <c r="F19" s="331">
        <f>-'C4Q'!E18</f>
        <v>0</v>
      </c>
      <c r="G19" s="331">
        <f>-'C4Q'!F18</f>
        <v>0</v>
      </c>
      <c r="H19" s="331">
        <f>-'C4Q'!G18</f>
        <v>0</v>
      </c>
      <c r="I19" s="713">
        <f t="shared" si="0"/>
        <v>0</v>
      </c>
      <c r="J19" s="385" t="str">
        <f t="shared" si="2"/>
        <v/>
      </c>
      <c r="K19" s="367">
        <f>-'C4Q'!J18</f>
        <v>0</v>
      </c>
    </row>
    <row r="20" spans="1:11" ht="11.25" customHeight="1" x14ac:dyDescent="0.25">
      <c r="A20" s="30" t="s">
        <v>1291</v>
      </c>
      <c r="B20" s="193"/>
      <c r="C20" s="366">
        <f>-'C4Q'!B19</f>
        <v>16893726.370000001</v>
      </c>
      <c r="D20" s="366">
        <f>-'C4Q'!C19</f>
        <v>11627000</v>
      </c>
      <c r="E20" s="331">
        <f>-'C4Q'!D19</f>
        <v>15736400</v>
      </c>
      <c r="F20" s="331">
        <f>-'C4Q'!E19</f>
        <v>2016107.75</v>
      </c>
      <c r="G20" s="331">
        <f>-'C4Q'!F19</f>
        <v>16160297.189999999</v>
      </c>
      <c r="H20" s="331">
        <f>-'C4Q'!G19</f>
        <v>15529803.82</v>
      </c>
      <c r="I20" s="713">
        <f t="shared" si="0"/>
        <v>630493.36999999918</v>
      </c>
      <c r="J20" s="385">
        <f t="shared" si="2"/>
        <v>4.0598926896167266E-2</v>
      </c>
      <c r="K20" s="367">
        <f>-'C4Q'!J19</f>
        <v>15736400</v>
      </c>
    </row>
    <row r="21" spans="1:11" ht="11.25" customHeight="1" x14ac:dyDescent="0.25">
      <c r="A21" s="59" t="s">
        <v>1292</v>
      </c>
      <c r="B21" s="193"/>
      <c r="C21" s="366"/>
      <c r="D21" s="366"/>
      <c r="E21" s="331"/>
      <c r="F21" s="331"/>
      <c r="G21" s="331"/>
      <c r="H21" s="331"/>
      <c r="I21" s="713">
        <f t="shared" si="0"/>
        <v>0</v>
      </c>
      <c r="J21" s="385" t="str">
        <f t="shared" si="2"/>
        <v/>
      </c>
      <c r="K21" s="367"/>
    </row>
    <row r="22" spans="1:11" ht="11.25" customHeight="1" x14ac:dyDescent="0.25">
      <c r="A22" s="30" t="s">
        <v>856</v>
      </c>
      <c r="B22" s="193"/>
      <c r="C22" s="366">
        <f>-'C4Q'!B21</f>
        <v>675918334.32000005</v>
      </c>
      <c r="D22" s="366">
        <f>-'C4Q'!C21</f>
        <v>778223600</v>
      </c>
      <c r="E22" s="331">
        <f>-'C4Q'!D21</f>
        <v>778223600</v>
      </c>
      <c r="F22" s="331">
        <f>-'C4Q'!E21</f>
        <v>58587732.939999998</v>
      </c>
      <c r="G22" s="331">
        <f>-'C4Q'!F21</f>
        <v>638650203.94000006</v>
      </c>
      <c r="H22" s="331">
        <f>-'C4Q'!G21</f>
        <v>647887822.46000004</v>
      </c>
      <c r="I22" s="713">
        <f t="shared" si="0"/>
        <v>-9237618.5199999809</v>
      </c>
      <c r="J22" s="385">
        <f t="shared" si="2"/>
        <v>-1.4258052396980038E-2</v>
      </c>
      <c r="K22" s="367">
        <f>-'C4Q'!J21</f>
        <v>778223600</v>
      </c>
    </row>
    <row r="23" spans="1:11" ht="11.25" customHeight="1" x14ac:dyDescent="0.25">
      <c r="A23" s="30" t="s">
        <v>1293</v>
      </c>
      <c r="B23" s="193"/>
      <c r="C23" s="366">
        <f>-'C4Q'!B22</f>
        <v>10041596.5</v>
      </c>
      <c r="D23" s="366">
        <f>-'C4Q'!C22</f>
        <v>6207900</v>
      </c>
      <c r="E23" s="331">
        <f>-'C4Q'!D22</f>
        <v>7832900</v>
      </c>
      <c r="F23" s="331">
        <f>-'C4Q'!E22</f>
        <v>1643769.56</v>
      </c>
      <c r="G23" s="331">
        <f>-'C4Q'!F22</f>
        <v>7741213.1399999997</v>
      </c>
      <c r="H23" s="331">
        <f>-'C4Q'!G22</f>
        <v>6419756.7699999996</v>
      </c>
      <c r="I23" s="713">
        <f t="shared" si="0"/>
        <v>1321456.3700000001</v>
      </c>
      <c r="J23" s="385">
        <f t="shared" si="2"/>
        <v>0.20584212414016431</v>
      </c>
      <c r="K23" s="367">
        <f>-'C4Q'!J22</f>
        <v>7832900</v>
      </c>
    </row>
    <row r="24" spans="1:11" ht="11.25" customHeight="1" x14ac:dyDescent="0.25">
      <c r="A24" s="30" t="s">
        <v>1023</v>
      </c>
      <c r="B24" s="193"/>
      <c r="C24" s="366">
        <f>-'C4Q'!B23</f>
        <v>9928489.1199999992</v>
      </c>
      <c r="D24" s="366">
        <f>-'C4Q'!C23</f>
        <v>12283600</v>
      </c>
      <c r="E24" s="331">
        <f>-'C4Q'!D23</f>
        <v>5313500</v>
      </c>
      <c r="F24" s="331">
        <f>-'C4Q'!E23</f>
        <v>283676.99</v>
      </c>
      <c r="G24" s="331">
        <f>-'C4Q'!F23</f>
        <v>7092609.4299999997</v>
      </c>
      <c r="H24" s="331">
        <f>-'C4Q'!G23</f>
        <v>4711053.18</v>
      </c>
      <c r="I24" s="713">
        <f t="shared" si="0"/>
        <v>2381556.25</v>
      </c>
      <c r="J24" s="385">
        <f t="shared" si="2"/>
        <v>0.50552523162135055</v>
      </c>
      <c r="K24" s="367">
        <f>-'C4Q'!J23</f>
        <v>5313500</v>
      </c>
    </row>
    <row r="25" spans="1:11" ht="11.25" customHeight="1" x14ac:dyDescent="0.25">
      <c r="A25" s="30" t="s">
        <v>1290</v>
      </c>
      <c r="B25" s="193"/>
      <c r="C25" s="366">
        <f>-'C4Q'!B24</f>
        <v>3551648.54</v>
      </c>
      <c r="D25" s="366">
        <f>-'C4Q'!C24</f>
        <v>3631700</v>
      </c>
      <c r="E25" s="331">
        <f>-'C4Q'!D24</f>
        <v>3631700</v>
      </c>
      <c r="F25" s="331">
        <f>-'C4Q'!E24</f>
        <v>212272.18</v>
      </c>
      <c r="G25" s="331">
        <f>-'C4Q'!F24</f>
        <v>2998240</v>
      </c>
      <c r="H25" s="331">
        <f>-'C4Q'!G24</f>
        <v>3043698.53</v>
      </c>
      <c r="I25" s="713">
        <f t="shared" si="0"/>
        <v>-45458.529999999795</v>
      </c>
      <c r="J25" s="385">
        <f t="shared" si="2"/>
        <v>-1.4935293213812408E-2</v>
      </c>
      <c r="K25" s="367">
        <f>-'C4Q'!J24</f>
        <v>3631700</v>
      </c>
    </row>
    <row r="26" spans="1:11" ht="11.25" customHeight="1" x14ac:dyDescent="0.25">
      <c r="A26" s="30" t="s">
        <v>1278</v>
      </c>
      <c r="B26" s="193"/>
      <c r="C26" s="366">
        <f>-'C4Q'!B25</f>
        <v>554728226.22000003</v>
      </c>
      <c r="D26" s="366">
        <f>-'C4Q'!C25</f>
        <v>587345000</v>
      </c>
      <c r="E26" s="331">
        <f>-'C4Q'!D25</f>
        <v>592697200</v>
      </c>
      <c r="F26" s="331">
        <f>-'C4Q'!E25</f>
        <v>989830.4</v>
      </c>
      <c r="G26" s="331">
        <f>-'C4Q'!F25</f>
        <v>578131256.75</v>
      </c>
      <c r="H26" s="331">
        <f>-'C4Q'!G25</f>
        <v>594917902.48000002</v>
      </c>
      <c r="I26" s="713">
        <f t="shared" si="0"/>
        <v>-16786645.730000019</v>
      </c>
      <c r="J26" s="385">
        <f t="shared" si="2"/>
        <v>-2.821674328511967E-2</v>
      </c>
      <c r="K26" s="367">
        <f>-'C4Q'!J25</f>
        <v>592697200</v>
      </c>
    </row>
    <row r="27" spans="1:11" ht="11.25" customHeight="1" x14ac:dyDescent="0.25">
      <c r="A27" s="30" t="s">
        <v>817</v>
      </c>
      <c r="B27" s="193"/>
      <c r="C27" s="366">
        <f>-'C4Q'!B26</f>
        <v>1335393.48</v>
      </c>
      <c r="D27" s="366">
        <f>-'C4Q'!C26</f>
        <v>870000</v>
      </c>
      <c r="E27" s="331">
        <f>-'C4Q'!D26</f>
        <v>1870000</v>
      </c>
      <c r="F27" s="331">
        <f>-'C4Q'!E26</f>
        <v>156746.48000000001</v>
      </c>
      <c r="G27" s="331">
        <f>-'C4Q'!F26</f>
        <v>1584376.39</v>
      </c>
      <c r="H27" s="331">
        <f>-'C4Q'!G26</f>
        <v>1440208.78</v>
      </c>
      <c r="I27" s="713">
        <f t="shared" si="0"/>
        <v>144167.60999999987</v>
      </c>
      <c r="J27" s="385">
        <f t="shared" si="2"/>
        <v>0.10010188245068181</v>
      </c>
      <c r="K27" s="367">
        <f>-'C4Q'!J26</f>
        <v>1870000</v>
      </c>
    </row>
    <row r="28" spans="1:11" ht="11.25" customHeight="1" x14ac:dyDescent="0.25">
      <c r="A28" s="30" t="s">
        <v>1294</v>
      </c>
      <c r="B28" s="193"/>
      <c r="C28" s="366">
        <f>-'C4Q'!B27</f>
        <v>0</v>
      </c>
      <c r="D28" s="366">
        <f>-'C4Q'!C27</f>
        <v>0</v>
      </c>
      <c r="E28" s="331">
        <f>-'C4Q'!D27</f>
        <v>0</v>
      </c>
      <c r="F28" s="331">
        <f>-'C4Q'!E27</f>
        <v>0</v>
      </c>
      <c r="G28" s="331">
        <f>-'C4Q'!F27</f>
        <v>0</v>
      </c>
      <c r="H28" s="331">
        <f>-'C4Q'!G27</f>
        <v>0</v>
      </c>
      <c r="I28" s="713">
        <f t="shared" si="0"/>
        <v>0</v>
      </c>
      <c r="J28" s="385" t="str">
        <f t="shared" si="2"/>
        <v/>
      </c>
      <c r="K28" s="367">
        <f>-'C4Q'!J27</f>
        <v>0</v>
      </c>
    </row>
    <row r="29" spans="1:11" ht="11.25" customHeight="1" x14ac:dyDescent="0.25">
      <c r="A29" s="30" t="s">
        <v>1291</v>
      </c>
      <c r="B29" s="193"/>
      <c r="C29" s="366">
        <f>-'C4Q'!B28</f>
        <v>0</v>
      </c>
      <c r="D29" s="366">
        <f>-'C4Q'!C28</f>
        <v>0</v>
      </c>
      <c r="E29" s="331">
        <f>-'C4Q'!D28</f>
        <v>0</v>
      </c>
      <c r="F29" s="331">
        <f>-'C4Q'!E28</f>
        <v>0</v>
      </c>
      <c r="G29" s="331">
        <f>-'C4Q'!F28</f>
        <v>0</v>
      </c>
      <c r="H29" s="331">
        <f>-'C4Q'!G28</f>
        <v>0</v>
      </c>
      <c r="I29" s="713">
        <f t="shared" si="0"/>
        <v>0</v>
      </c>
      <c r="J29" s="385" t="str">
        <f t="shared" si="2"/>
        <v/>
      </c>
      <c r="K29" s="367">
        <f>-'C4Q'!J28</f>
        <v>0</v>
      </c>
    </row>
    <row r="30" spans="1:11" ht="11.25" customHeight="1" x14ac:dyDescent="0.25">
      <c r="A30" s="30" t="s">
        <v>1295</v>
      </c>
      <c r="B30" s="193"/>
      <c r="C30" s="366">
        <f>-'C4Q'!B29</f>
        <v>98652578.5</v>
      </c>
      <c r="D30" s="366">
        <f>-'C4Q'!C29</f>
        <v>0</v>
      </c>
      <c r="E30" s="331">
        <f>-'C4Q'!D29</f>
        <v>0</v>
      </c>
      <c r="F30" s="331">
        <f>-'C4Q'!E29</f>
        <v>0</v>
      </c>
      <c r="G30" s="331">
        <f>-'C4Q'!F29</f>
        <v>12656614.41</v>
      </c>
      <c r="H30" s="331">
        <f>-'C4Q'!G29</f>
        <v>10792173.91</v>
      </c>
      <c r="I30" s="713">
        <f t="shared" si="0"/>
        <v>1864440.5</v>
      </c>
      <c r="J30" s="385">
        <f t="shared" si="2"/>
        <v>0.17275856704573805</v>
      </c>
      <c r="K30" s="367">
        <f>-'C4Q'!J29</f>
        <v>0</v>
      </c>
    </row>
    <row r="31" spans="1:11" ht="11.25" customHeight="1" x14ac:dyDescent="0.25">
      <c r="A31" s="30" t="s">
        <v>1296</v>
      </c>
      <c r="B31" s="193"/>
      <c r="C31" s="366">
        <f>-'C4Q'!B30</f>
        <v>609103864.66999996</v>
      </c>
      <c r="D31" s="366">
        <f>-'C4Q'!C30</f>
        <v>609585200</v>
      </c>
      <c r="E31" s="331">
        <f>-'C4Q'!D30</f>
        <v>609589600</v>
      </c>
      <c r="F31" s="331">
        <f>-'C4Q'!E30</f>
        <v>34983900.270000003</v>
      </c>
      <c r="G31" s="331">
        <f>-'C4Q'!F30</f>
        <v>492593400.18000001</v>
      </c>
      <c r="H31" s="331">
        <f>-'C4Q'!G30</f>
        <v>494683223.30000001</v>
      </c>
      <c r="I31" s="713">
        <f t="shared" si="0"/>
        <v>-2089823.1200000048</v>
      </c>
      <c r="J31" s="385">
        <f t="shared" si="2"/>
        <v>-4.2245684138203215E-3</v>
      </c>
      <c r="K31" s="367">
        <f>-'C4Q'!J30</f>
        <v>609589600</v>
      </c>
    </row>
    <row r="32" spans="1:11" ht="11.25" customHeight="1" x14ac:dyDescent="0.25">
      <c r="A32" s="21" t="s">
        <v>1297</v>
      </c>
      <c r="B32" s="193"/>
      <c r="C32" s="366">
        <f>-'C4Q'!B31</f>
        <v>0</v>
      </c>
      <c r="D32" s="391">
        <f>-'C4Q'!C31</f>
        <v>0</v>
      </c>
      <c r="E32" s="331">
        <f>-'C4Q'!D31</f>
        <v>0</v>
      </c>
      <c r="F32" s="331">
        <f>-'C4Q'!E31</f>
        <v>0</v>
      </c>
      <c r="G32" s="392">
        <f>-'C4Q'!F31</f>
        <v>0</v>
      </c>
      <c r="H32" s="392">
        <f>-'C4Q'!G31</f>
        <v>0</v>
      </c>
      <c r="I32" s="713">
        <f t="shared" si="0"/>
        <v>0</v>
      </c>
      <c r="J32" s="385" t="str">
        <f t="shared" si="2"/>
        <v/>
      </c>
      <c r="K32" s="367">
        <f>-'C4Q'!J31</f>
        <v>0</v>
      </c>
    </row>
    <row r="33" spans="1:14" ht="25.5" x14ac:dyDescent="0.25">
      <c r="A33" s="380" t="s">
        <v>116</v>
      </c>
      <c r="B33" s="381"/>
      <c r="C33" s="382">
        <f>SUM(C7:C20)+SUM(C22:C32)</f>
        <v>5007703286.0100002</v>
      </c>
      <c r="D33" s="383">
        <f t="shared" ref="D33:H33" si="3">SUM(D7:D20)+SUM(D22:D32)</f>
        <v>5599451800</v>
      </c>
      <c r="E33" s="384">
        <f t="shared" si="3"/>
        <v>5338039747</v>
      </c>
      <c r="F33" s="384">
        <f t="shared" si="3"/>
        <v>364408539.06000006</v>
      </c>
      <c r="G33" s="713">
        <f t="shared" si="3"/>
        <v>4450547401.4700003</v>
      </c>
      <c r="H33" s="384">
        <f t="shared" si="3"/>
        <v>4449830308.3000002</v>
      </c>
      <c r="I33" s="384">
        <f t="shared" si="0"/>
        <v>717093.17000007629</v>
      </c>
      <c r="J33" s="385">
        <f t="shared" si="2"/>
        <v>1.6115067773764892E-4</v>
      </c>
      <c r="K33" s="386">
        <f>SUM(K7:K20)+SUM(K22:K32)</f>
        <v>5338039747</v>
      </c>
    </row>
    <row r="34" spans="1:14" ht="12.75" customHeight="1" x14ac:dyDescent="0.25">
      <c r="A34" s="29" t="s">
        <v>442</v>
      </c>
      <c r="B34" s="387"/>
      <c r="C34" s="596"/>
      <c r="D34" s="148"/>
      <c r="E34" s="328"/>
      <c r="F34" s="328"/>
      <c r="G34" s="148"/>
      <c r="H34" s="34"/>
      <c r="I34" s="384">
        <f t="shared" si="0"/>
        <v>0</v>
      </c>
      <c r="J34" s="385" t="str">
        <f t="shared" si="2"/>
        <v/>
      </c>
      <c r="K34" s="78"/>
    </row>
    <row r="35" spans="1:14" ht="12.75" customHeight="1" x14ac:dyDescent="0.25">
      <c r="A35" s="30" t="s">
        <v>776</v>
      </c>
      <c r="B35" s="193"/>
      <c r="C35" s="379">
        <f>'C4Q'!B34</f>
        <v>1155996572.21</v>
      </c>
      <c r="D35" s="415">
        <f>'C4Q'!C34</f>
        <v>1257067700</v>
      </c>
      <c r="E35" s="331">
        <f>'C4Q'!D34</f>
        <v>1197348600</v>
      </c>
      <c r="F35" s="331">
        <f>'C4Q'!E34</f>
        <v>92704825.790000007</v>
      </c>
      <c r="G35" s="331">
        <f>'C4Q'!F34</f>
        <v>948543138.57000005</v>
      </c>
      <c r="H35" s="331">
        <f>'C4Q'!G34</f>
        <v>972580606.50999999</v>
      </c>
      <c r="I35" s="713">
        <f t="shared" si="0"/>
        <v>-24037467.939999938</v>
      </c>
      <c r="J35" s="385">
        <f t="shared" si="2"/>
        <v>-2.4715142147709264E-2</v>
      </c>
      <c r="K35" s="367">
        <f>'C4Q'!J34</f>
        <v>1197348600</v>
      </c>
      <c r="N35" s="33"/>
    </row>
    <row r="36" spans="1:14" ht="12.75" customHeight="1" x14ac:dyDescent="0.25">
      <c r="A36" s="30" t="s">
        <v>434</v>
      </c>
      <c r="B36" s="193"/>
      <c r="C36" s="379">
        <f>'C4Q'!B35</f>
        <v>30596809.02</v>
      </c>
      <c r="D36" s="415">
        <f>'C4Q'!C35</f>
        <v>35202700</v>
      </c>
      <c r="E36" s="331">
        <f>'C4Q'!D35</f>
        <v>38433400</v>
      </c>
      <c r="F36" s="331">
        <f>'C4Q'!E35</f>
        <v>2790662.38</v>
      </c>
      <c r="G36" s="331">
        <f>'C4Q'!F35</f>
        <v>28233644.620000001</v>
      </c>
      <c r="H36" s="331">
        <f>'C4Q'!G35</f>
        <v>30260294.149999999</v>
      </c>
      <c r="I36" s="713">
        <f t="shared" si="0"/>
        <v>-2026649.5299999975</v>
      </c>
      <c r="J36" s="385">
        <f t="shared" si="2"/>
        <v>-6.6973887297787471E-2</v>
      </c>
      <c r="K36" s="367">
        <f>'C4Q'!J35</f>
        <v>38433400</v>
      </c>
    </row>
    <row r="37" spans="1:14" ht="12.75" customHeight="1" x14ac:dyDescent="0.25">
      <c r="A37" s="30" t="s">
        <v>1275</v>
      </c>
      <c r="B37" s="193"/>
      <c r="C37" s="379">
        <f>'C4Q'!B36</f>
        <v>1528384697.02</v>
      </c>
      <c r="D37" s="415">
        <f>'C4Q'!C36</f>
        <v>1802030900</v>
      </c>
      <c r="E37" s="331">
        <f>'C4Q'!D36</f>
        <v>1802030900</v>
      </c>
      <c r="F37" s="331">
        <f>'C4Q'!E36</f>
        <v>127078262.69</v>
      </c>
      <c r="G37" s="331">
        <f>'C4Q'!F36</f>
        <v>1485904643.9100001</v>
      </c>
      <c r="H37" s="331">
        <f>'C4Q'!G36</f>
        <v>1485989212.6500001</v>
      </c>
      <c r="I37" s="713">
        <f t="shared" si="0"/>
        <v>-84568.740000009537</v>
      </c>
      <c r="J37" s="385">
        <f t="shared" si="2"/>
        <v>-5.6910736148074778E-5</v>
      </c>
      <c r="K37" s="367">
        <f>'C4Q'!J36</f>
        <v>1802030900</v>
      </c>
    </row>
    <row r="38" spans="1:14" ht="12.75" customHeight="1" x14ac:dyDescent="0.25">
      <c r="A38" s="30" t="s">
        <v>1276</v>
      </c>
      <c r="B38" s="193"/>
      <c r="C38" s="379">
        <f>'C4Q'!B37</f>
        <v>509706147.88</v>
      </c>
      <c r="D38" s="366">
        <f>'C4Q'!C37</f>
        <v>492833600</v>
      </c>
      <c r="E38" s="331">
        <f>'C4Q'!D37</f>
        <v>485980800</v>
      </c>
      <c r="F38" s="331">
        <f>'C4Q'!E37</f>
        <v>26050955.010000002</v>
      </c>
      <c r="G38" s="331">
        <f>'C4Q'!F37</f>
        <v>372472223.81</v>
      </c>
      <c r="H38" s="331">
        <f>'C4Q'!G37</f>
        <v>362417296.41000003</v>
      </c>
      <c r="I38" s="713">
        <f t="shared" si="0"/>
        <v>10054927.399999976</v>
      </c>
      <c r="J38" s="385">
        <f t="shared" si="2"/>
        <v>2.7744060505944811E-2</v>
      </c>
      <c r="K38" s="367">
        <f>'C4Q'!J37</f>
        <v>485980800</v>
      </c>
    </row>
    <row r="39" spans="1:14" ht="12.75" customHeight="1" x14ac:dyDescent="0.25">
      <c r="A39" s="30" t="s">
        <v>560</v>
      </c>
      <c r="B39" s="193"/>
      <c r="C39" s="379">
        <f>'C4Q'!B38</f>
        <v>9339995.7100000009</v>
      </c>
      <c r="D39" s="366">
        <f>'C4Q'!C38</f>
        <v>274732500</v>
      </c>
      <c r="E39" s="331">
        <f>'C4Q'!D38</f>
        <v>202711600</v>
      </c>
      <c r="F39" s="331">
        <f>'C4Q'!E38</f>
        <v>11131356.539999999</v>
      </c>
      <c r="G39" s="331">
        <f>'C4Q'!F38</f>
        <v>175350886.97999999</v>
      </c>
      <c r="H39" s="331">
        <f>'C4Q'!G38</f>
        <v>173220952.18000001</v>
      </c>
      <c r="I39" s="713">
        <f t="shared" si="0"/>
        <v>2129934.7999999821</v>
      </c>
      <c r="J39" s="385">
        <f t="shared" si="2"/>
        <v>1.229605756806308E-2</v>
      </c>
      <c r="K39" s="367">
        <f>'C4Q'!J38</f>
        <v>202711600</v>
      </c>
    </row>
    <row r="40" spans="1:14" ht="12.75" customHeight="1" x14ac:dyDescent="0.25">
      <c r="A40" s="30" t="s">
        <v>1279</v>
      </c>
      <c r="B40" s="193"/>
      <c r="C40" s="379">
        <f>'C4Q'!B39</f>
        <v>325363993.07999998</v>
      </c>
      <c r="D40" s="366">
        <f>'C4Q'!C39</f>
        <v>305949500</v>
      </c>
      <c r="E40" s="331">
        <f>'C4Q'!D39</f>
        <v>352759106.20999998</v>
      </c>
      <c r="F40" s="331">
        <f>'C4Q'!E39</f>
        <v>28737476.43</v>
      </c>
      <c r="G40" s="331">
        <f>'C4Q'!F39</f>
        <v>290740789.87</v>
      </c>
      <c r="H40" s="331">
        <f>'C4Q'!G39</f>
        <v>292460851.92000002</v>
      </c>
      <c r="I40" s="713">
        <f t="shared" si="0"/>
        <v>-1720062.0500000119</v>
      </c>
      <c r="J40" s="385">
        <f t="shared" si="2"/>
        <v>-5.8813411733838455E-3</v>
      </c>
      <c r="K40" s="367">
        <f>'C4Q'!J39</f>
        <v>352759106.20999998</v>
      </c>
    </row>
    <row r="41" spans="1:14" ht="12.75" customHeight="1" x14ac:dyDescent="0.25">
      <c r="A41" s="30" t="s">
        <v>817</v>
      </c>
      <c r="B41" s="193"/>
      <c r="C41" s="379">
        <f>'C4Q'!B40</f>
        <v>158839238.19999999</v>
      </c>
      <c r="D41" s="366">
        <f>'C4Q'!C40</f>
        <v>178823500</v>
      </c>
      <c r="E41" s="331">
        <f>'C4Q'!D40</f>
        <v>184846100</v>
      </c>
      <c r="F41" s="331">
        <f>'C4Q'!E40</f>
        <v>16903285.699999999</v>
      </c>
      <c r="G41" s="331">
        <f>'C4Q'!F40</f>
        <v>161055737.38999999</v>
      </c>
      <c r="H41" s="331">
        <f>'C4Q'!G40</f>
        <v>153636465.36000001</v>
      </c>
      <c r="I41" s="713">
        <f t="shared" si="0"/>
        <v>7419272.0299999714</v>
      </c>
      <c r="J41" s="385">
        <f t="shared" si="2"/>
        <v>4.8291087748049778E-2</v>
      </c>
      <c r="K41" s="367">
        <f>'C4Q'!J40</f>
        <v>184846100</v>
      </c>
    </row>
    <row r="42" spans="1:14" ht="12.75" customHeight="1" x14ac:dyDescent="0.25">
      <c r="A42" s="30" t="s">
        <v>778</v>
      </c>
      <c r="B42" s="193"/>
      <c r="C42" s="379">
        <f>'C4Q'!B41</f>
        <v>603400180.32000005</v>
      </c>
      <c r="D42" s="366">
        <f>'C4Q'!C41</f>
        <v>475795300</v>
      </c>
      <c r="E42" s="331">
        <f>'C4Q'!D41</f>
        <v>584436100</v>
      </c>
      <c r="F42" s="331">
        <f>'C4Q'!E41</f>
        <v>21607209.91</v>
      </c>
      <c r="G42" s="331">
        <f>'C4Q'!F41</f>
        <v>379595194.17000002</v>
      </c>
      <c r="H42" s="331">
        <f>'C4Q'!G41</f>
        <v>425606374.39999998</v>
      </c>
      <c r="I42" s="713">
        <f t="shared" si="0"/>
        <v>-46011180.229999959</v>
      </c>
      <c r="J42" s="385">
        <f t="shared" si="2"/>
        <v>-0.10810735693248104</v>
      </c>
      <c r="K42" s="367">
        <f>'C4Q'!J41</f>
        <v>584436100</v>
      </c>
    </row>
    <row r="43" spans="1:14" ht="12.75" customHeight="1" x14ac:dyDescent="0.25">
      <c r="A43" s="30" t="s">
        <v>1024</v>
      </c>
      <c r="B43" s="193"/>
      <c r="C43" s="379">
        <f>'C4Q'!B42</f>
        <v>8927436.4299999997</v>
      </c>
      <c r="D43" s="366">
        <f>'C4Q'!C42</f>
        <v>7582000</v>
      </c>
      <c r="E43" s="331">
        <f>'C4Q'!D42</f>
        <v>6432000</v>
      </c>
      <c r="F43" s="331">
        <f>'C4Q'!E42</f>
        <v>66000</v>
      </c>
      <c r="G43" s="331">
        <f>'C4Q'!F42</f>
        <v>1820462.1</v>
      </c>
      <c r="H43" s="331">
        <f>'C4Q'!G42</f>
        <v>2937891.1</v>
      </c>
      <c r="I43" s="713">
        <f t="shared" si="0"/>
        <v>-1117429</v>
      </c>
      <c r="J43" s="385">
        <f t="shared" si="2"/>
        <v>-0.38035072164519645</v>
      </c>
      <c r="K43" s="367">
        <f>'C4Q'!J42</f>
        <v>6432000</v>
      </c>
    </row>
    <row r="44" spans="1:14" ht="12.75" customHeight="1" x14ac:dyDescent="0.25">
      <c r="A44" s="30" t="s">
        <v>1298</v>
      </c>
      <c r="B44" s="193"/>
      <c r="C44" s="379">
        <f>'C4Q'!B43</f>
        <v>60676046.960000001</v>
      </c>
      <c r="D44" s="366">
        <f>'C4Q'!C43</f>
        <v>0</v>
      </c>
      <c r="E44" s="331">
        <f>'C4Q'!D43</f>
        <v>0</v>
      </c>
      <c r="F44" s="331">
        <f>'C4Q'!E43</f>
        <v>419435.92</v>
      </c>
      <c r="G44" s="331">
        <f>'C4Q'!F43</f>
        <v>8082645.7400000002</v>
      </c>
      <c r="H44" s="331">
        <f>'C4Q'!G43</f>
        <v>6307453.2699999996</v>
      </c>
      <c r="I44" s="713">
        <f t="shared" si="0"/>
        <v>1775192.4700000007</v>
      </c>
      <c r="J44" s="385">
        <f t="shared" si="2"/>
        <v>0.28144361821011171</v>
      </c>
      <c r="K44" s="367">
        <f>'C4Q'!J43</f>
        <v>0</v>
      </c>
    </row>
    <row r="45" spans="1:14" ht="12.75" customHeight="1" x14ac:dyDescent="0.25">
      <c r="A45" s="30" t="s">
        <v>1299</v>
      </c>
      <c r="B45" s="193"/>
      <c r="C45" s="379">
        <f>'C4Q'!B44</f>
        <v>329400562.14999998</v>
      </c>
      <c r="D45" s="366">
        <f>'C4Q'!C44</f>
        <v>389896200</v>
      </c>
      <c r="E45" s="331">
        <f>'C4Q'!D44</f>
        <v>398934100.04000002</v>
      </c>
      <c r="F45" s="331">
        <f>'C4Q'!E44</f>
        <v>23511665.149999999</v>
      </c>
      <c r="G45" s="331">
        <f>'C4Q'!F44</f>
        <v>293128976.49000001</v>
      </c>
      <c r="H45" s="331">
        <f>'C4Q'!G44</f>
        <v>307025440.69999999</v>
      </c>
      <c r="I45" s="713">
        <f t="shared" si="0"/>
        <v>-13896464.209999979</v>
      </c>
      <c r="J45" s="385">
        <f t="shared" si="2"/>
        <v>-4.5261604961194274E-2</v>
      </c>
      <c r="K45" s="367">
        <f>'C4Q'!J44</f>
        <v>398934100.04000002</v>
      </c>
    </row>
    <row r="46" spans="1:14" ht="12.75" customHeight="1" x14ac:dyDescent="0.25">
      <c r="A46" s="30" t="s">
        <v>1300</v>
      </c>
      <c r="B46" s="193"/>
      <c r="C46" s="379">
        <f>'C4Q'!B45</f>
        <v>131791451.58</v>
      </c>
      <c r="D46" s="366">
        <f>'C4Q'!C45</f>
        <v>0</v>
      </c>
      <c r="E46" s="331">
        <f>'C4Q'!D45</f>
        <v>0</v>
      </c>
      <c r="F46" s="331">
        <f>'C4Q'!E45</f>
        <v>0</v>
      </c>
      <c r="G46" s="331">
        <f>'C4Q'!F45</f>
        <v>0</v>
      </c>
      <c r="H46" s="331">
        <f>'C4Q'!G45</f>
        <v>0</v>
      </c>
      <c r="I46" s="713">
        <f t="shared" si="0"/>
        <v>0</v>
      </c>
      <c r="J46" s="385" t="str">
        <f t="shared" si="2"/>
        <v/>
      </c>
      <c r="K46" s="367">
        <f>'C4Q'!J45</f>
        <v>0</v>
      </c>
    </row>
    <row r="47" spans="1:14" ht="12.75" customHeight="1" x14ac:dyDescent="0.25">
      <c r="A47" s="30" t="s">
        <v>1301</v>
      </c>
      <c r="B47" s="193"/>
      <c r="C47" s="379">
        <f>'C4Q'!B46</f>
        <v>404035947.72000003</v>
      </c>
      <c r="D47" s="366">
        <f>'C4Q'!C46</f>
        <v>370004400</v>
      </c>
      <c r="E47" s="331">
        <f>'C4Q'!D46</f>
        <v>370004400</v>
      </c>
      <c r="F47" s="331">
        <f>'C4Q'!E46</f>
        <v>29802226.629999999</v>
      </c>
      <c r="G47" s="331">
        <f>'C4Q'!F46</f>
        <v>390074396.18000001</v>
      </c>
      <c r="H47" s="331">
        <f>'C4Q'!G46</f>
        <v>370554330.39999998</v>
      </c>
      <c r="I47" s="713">
        <f t="shared" si="0"/>
        <v>19520065.780000031</v>
      </c>
      <c r="J47" s="385">
        <f t="shared" si="2"/>
        <v>5.2678012854225256E-2</v>
      </c>
      <c r="K47" s="367">
        <f>'C4Q'!J46</f>
        <v>370004400</v>
      </c>
    </row>
    <row r="48" spans="1:14" ht="12.75" customHeight="1" x14ac:dyDescent="0.25">
      <c r="A48" s="62" t="s">
        <v>443</v>
      </c>
      <c r="B48" s="194"/>
      <c r="C48" s="137">
        <f>SUM(C35:C47)</f>
        <v>5256459078.2799997</v>
      </c>
      <c r="D48" s="53">
        <f t="shared" ref="D48:H48" si="4">SUM(D35:D47)</f>
        <v>5589918300</v>
      </c>
      <c r="E48" s="52">
        <f t="shared" si="4"/>
        <v>5623917106.25</v>
      </c>
      <c r="F48" s="52">
        <f t="shared" si="4"/>
        <v>380803362.14999998</v>
      </c>
      <c r="G48" s="52">
        <f t="shared" si="4"/>
        <v>4535002739.8299999</v>
      </c>
      <c r="H48" s="52">
        <f t="shared" si="4"/>
        <v>4582997169.0499992</v>
      </c>
      <c r="I48" s="713">
        <f t="shared" si="0"/>
        <v>-47994429.219999313</v>
      </c>
      <c r="J48" s="385">
        <f t="shared" si="2"/>
        <v>-1.0472279918503198E-2</v>
      </c>
      <c r="K48" s="312">
        <f>SUM(K35:K47)</f>
        <v>5623917106.25</v>
      </c>
    </row>
    <row r="49" spans="1:256" ht="12.75" customHeight="1" x14ac:dyDescent="0.25">
      <c r="A49" s="59" t="s">
        <v>444</v>
      </c>
      <c r="B49" s="193"/>
      <c r="C49" s="69">
        <f t="shared" ref="C49:H49" si="5">C33-C48</f>
        <v>-248755792.2699995</v>
      </c>
      <c r="D49" s="39">
        <f t="shared" si="5"/>
        <v>9533500</v>
      </c>
      <c r="E49" s="38">
        <f t="shared" si="5"/>
        <v>-285877359.25</v>
      </c>
      <c r="F49" s="38">
        <f t="shared" si="5"/>
        <v>-16394823.089999914</v>
      </c>
      <c r="G49" s="38">
        <f t="shared" si="5"/>
        <v>-84455338.359999657</v>
      </c>
      <c r="H49" s="38">
        <f t="shared" si="5"/>
        <v>-133166860.74999905</v>
      </c>
      <c r="I49" s="713">
        <f t="shared" si="0"/>
        <v>48711522.38999939</v>
      </c>
      <c r="J49" s="385">
        <f t="shared" si="2"/>
        <v>-0.36579312687597271</v>
      </c>
      <c r="K49" s="717">
        <f>K33-K48</f>
        <v>-285877359.25</v>
      </c>
    </row>
    <row r="50" spans="1:256" ht="25.5" x14ac:dyDescent="0.25">
      <c r="A50" s="442" t="s">
        <v>1302</v>
      </c>
      <c r="B50" s="193"/>
      <c r="C50" s="366">
        <f>-'C4Q'!B47</f>
        <v>258305938.52000001</v>
      </c>
      <c r="D50" s="366">
        <f>-'C4Q'!C47</f>
        <v>219003000</v>
      </c>
      <c r="E50" s="331">
        <f>-'C4Q'!D47</f>
        <v>227008100</v>
      </c>
      <c r="F50" s="331">
        <f>-'C4Q'!E47</f>
        <v>21704677.170000002</v>
      </c>
      <c r="G50" s="331">
        <f>-'C4Q'!F47</f>
        <v>166948039.93000001</v>
      </c>
      <c r="H50" s="331">
        <f>-'C4Q'!G47</f>
        <v>173963692.47999999</v>
      </c>
      <c r="I50" s="713">
        <f t="shared" si="0"/>
        <v>-7015652.5499999821</v>
      </c>
      <c r="J50" s="385">
        <f t="shared" si="2"/>
        <v>-4.0328257293150684E-2</v>
      </c>
      <c r="K50" s="367">
        <f>-'C4Q'!J47</f>
        <v>227008100</v>
      </c>
    </row>
    <row r="51" spans="1:256" x14ac:dyDescent="0.25">
      <c r="A51" s="442" t="s">
        <v>1303</v>
      </c>
      <c r="B51" s="193"/>
      <c r="C51" s="366"/>
      <c r="D51" s="366">
        <f>'C4Q'!C2285</f>
        <v>0</v>
      </c>
      <c r="E51" s="331">
        <f>'C4Q'!D2285</f>
        <v>0</v>
      </c>
      <c r="F51" s="331">
        <f>'C4Q'!E2285</f>
        <v>0</v>
      </c>
      <c r="G51" s="331">
        <f>'C4Q'!F2285</f>
        <v>0</v>
      </c>
      <c r="H51" s="331">
        <f>'C4Q'!G2285</f>
        <v>0</v>
      </c>
      <c r="I51" s="713">
        <f t="shared" si="0"/>
        <v>0</v>
      </c>
      <c r="J51" s="385" t="str">
        <f t="shared" si="2"/>
        <v/>
      </c>
      <c r="K51" s="367">
        <f>'C4Q'!J2285</f>
        <v>0</v>
      </c>
    </row>
    <row r="52" spans="1:256" ht="25.5" x14ac:dyDescent="0.25">
      <c r="A52" s="394" t="s">
        <v>700</v>
      </c>
      <c r="B52" s="395"/>
      <c r="C52" s="143">
        <f t="shared" ref="C52:H52" si="6">C49+SUM(C50:C51)</f>
        <v>9550146.2500005066</v>
      </c>
      <c r="D52" s="144">
        <f t="shared" si="6"/>
        <v>228536500</v>
      </c>
      <c r="E52" s="145">
        <f t="shared" si="6"/>
        <v>-58869259.25</v>
      </c>
      <c r="F52" s="145">
        <f t="shared" si="6"/>
        <v>5309854.0800000876</v>
      </c>
      <c r="G52" s="145">
        <f t="shared" si="6"/>
        <v>82492701.57000035</v>
      </c>
      <c r="H52" s="145">
        <f t="shared" si="6"/>
        <v>40796831.730000943</v>
      </c>
      <c r="I52" s="713">
        <f t="shared" si="0"/>
        <v>41695869.839999408</v>
      </c>
      <c r="J52" s="385">
        <f t="shared" si="2"/>
        <v>1.0220369590449676</v>
      </c>
      <c r="K52" s="718">
        <f>K49+SUM(K50:K51)</f>
        <v>-58869259.25</v>
      </c>
    </row>
    <row r="53" spans="1:256" ht="12.75" customHeight="1" x14ac:dyDescent="0.25">
      <c r="A53" s="30" t="s">
        <v>1304</v>
      </c>
      <c r="B53" s="193"/>
      <c r="C53" s="390">
        <f>'C4-FinPerf RE'!A1:K1</f>
        <v>0</v>
      </c>
      <c r="D53" s="391"/>
      <c r="E53" s="392"/>
      <c r="F53" s="392"/>
      <c r="G53" s="392"/>
      <c r="H53" s="392"/>
      <c r="I53" s="713">
        <f t="shared" si="0"/>
        <v>0</v>
      </c>
      <c r="J53" s="385" t="str">
        <f t="shared" si="2"/>
        <v/>
      </c>
      <c r="K53" s="714"/>
    </row>
    <row r="54" spans="1:256" ht="12.75" customHeight="1" x14ac:dyDescent="0.25">
      <c r="A54" s="59" t="s">
        <v>1305</v>
      </c>
      <c r="B54" s="193"/>
      <c r="C54" s="69">
        <f t="shared" ref="C54:H54" si="7">C52-C53</f>
        <v>9550146.2500005066</v>
      </c>
      <c r="D54" s="39">
        <f t="shared" si="7"/>
        <v>228536500</v>
      </c>
      <c r="E54" s="38">
        <f t="shared" si="7"/>
        <v>-58869259.25</v>
      </c>
      <c r="F54" s="38">
        <f t="shared" si="7"/>
        <v>5309854.0800000876</v>
      </c>
      <c r="G54" s="38">
        <f t="shared" si="7"/>
        <v>82492701.57000035</v>
      </c>
      <c r="H54" s="38">
        <f t="shared" si="7"/>
        <v>40796831.730000943</v>
      </c>
      <c r="I54" s="716"/>
      <c r="J54" s="396"/>
      <c r="K54" s="717">
        <f>K52-K53</f>
        <v>-58869259.25</v>
      </c>
    </row>
    <row r="55" spans="1:256" ht="12.75" customHeight="1" x14ac:dyDescent="0.25">
      <c r="A55" s="30" t="s">
        <v>1306</v>
      </c>
      <c r="B55" s="193"/>
      <c r="C55" s="379">
        <f>'C4Q'!B50</f>
        <v>0</v>
      </c>
      <c r="D55" s="366">
        <f>'C4Q'!C50</f>
        <v>0</v>
      </c>
      <c r="E55" s="331">
        <f>'C4Q'!D50</f>
        <v>0</v>
      </c>
      <c r="F55" s="331">
        <f>'C4Q'!E50</f>
        <v>0</v>
      </c>
      <c r="G55" s="331">
        <f>'C4Q'!F50</f>
        <v>0</v>
      </c>
      <c r="H55" s="331">
        <f>'C4Q'!G50</f>
        <v>0</v>
      </c>
      <c r="I55" s="716"/>
      <c r="J55" s="396"/>
      <c r="K55" s="367">
        <f>'C4Q'!J50</f>
        <v>0</v>
      </c>
    </row>
    <row r="56" spans="1:256" ht="12.75" customHeight="1" x14ac:dyDescent="0.25">
      <c r="A56" s="30" t="s">
        <v>1307</v>
      </c>
      <c r="B56" s="514"/>
      <c r="C56" s="379">
        <f>'C4Q'!B51</f>
        <v>0</v>
      </c>
      <c r="D56" s="366">
        <f>'C4Q'!C51</f>
        <v>0</v>
      </c>
      <c r="E56" s="331">
        <f>'C4Q'!D51</f>
        <v>0</v>
      </c>
      <c r="F56" s="331">
        <f>'C4Q'!E51</f>
        <v>0</v>
      </c>
      <c r="G56" s="331">
        <f>'C4Q'!F51</f>
        <v>0</v>
      </c>
      <c r="H56" s="331">
        <f>'C4Q'!G51</f>
        <v>0</v>
      </c>
      <c r="I56" s="716"/>
      <c r="J56" s="396"/>
      <c r="K56" s="367">
        <f>'C4Q'!J51</f>
        <v>0</v>
      </c>
    </row>
    <row r="57" spans="1:256" ht="12.75" customHeight="1" x14ac:dyDescent="0.25">
      <c r="A57" s="398" t="s">
        <v>123</v>
      </c>
      <c r="B57" s="197"/>
      <c r="C57" s="399">
        <f t="shared" ref="C57:H57" si="8">SUM(C54:C55)</f>
        <v>9550146.2500005066</v>
      </c>
      <c r="D57" s="715">
        <f t="shared" si="8"/>
        <v>228536500</v>
      </c>
      <c r="E57" s="400">
        <f t="shared" si="8"/>
        <v>-58869259.25</v>
      </c>
      <c r="F57" s="400">
        <f t="shared" si="8"/>
        <v>5309854.0800000876</v>
      </c>
      <c r="G57" s="400">
        <f t="shared" si="8"/>
        <v>82492701.57000035</v>
      </c>
      <c r="H57" s="400">
        <f t="shared" si="8"/>
        <v>40796831.730000943</v>
      </c>
      <c r="I57" s="716"/>
      <c r="J57" s="396"/>
      <c r="K57" s="719">
        <f>SUM(K54:K55)</f>
        <v>-58869259.25</v>
      </c>
    </row>
    <row r="58" spans="1:256" ht="12.75" customHeight="1" x14ac:dyDescent="0.25">
      <c r="A58" s="30" t="s">
        <v>1308</v>
      </c>
      <c r="B58" s="514"/>
      <c r="C58" s="390">
        <f>'C4Q'!B52</f>
        <v>0</v>
      </c>
      <c r="D58" s="391">
        <f>'C4Q'!C52</f>
        <v>0</v>
      </c>
      <c r="E58" s="392">
        <f>'C4Q'!D52</f>
        <v>0</v>
      </c>
      <c r="F58" s="392">
        <f>'C4Q'!E52</f>
        <v>0</v>
      </c>
      <c r="G58" s="392">
        <f>'C4Q'!F52</f>
        <v>0</v>
      </c>
      <c r="H58" s="392">
        <f>'C4Q'!G52</f>
        <v>0</v>
      </c>
      <c r="I58" s="716"/>
      <c r="J58" s="396"/>
      <c r="K58" s="714">
        <f>'C4Q'!J52</f>
        <v>0</v>
      </c>
    </row>
    <row r="59" spans="1:256" ht="12.75" customHeight="1" x14ac:dyDescent="0.25">
      <c r="A59" s="30" t="s">
        <v>1309</v>
      </c>
      <c r="B59" s="214"/>
      <c r="C59" s="390">
        <f>'C4Q'!B53</f>
        <v>0</v>
      </c>
      <c r="D59" s="391">
        <f>'C4Q'!C53</f>
        <v>0</v>
      </c>
      <c r="E59" s="392">
        <f>'C4Q'!D53</f>
        <v>0</v>
      </c>
      <c r="F59" s="392">
        <f>'C4Q'!E53</f>
        <v>0</v>
      </c>
      <c r="G59" s="392">
        <f>'C4Q'!F53</f>
        <v>0</v>
      </c>
      <c r="H59" s="392">
        <f>'C4Q'!G53</f>
        <v>0</v>
      </c>
      <c r="I59" s="716"/>
      <c r="J59" s="396"/>
      <c r="K59" s="714">
        <f>'C4Q'!J53</f>
        <v>0</v>
      </c>
    </row>
    <row r="60" spans="1:256" ht="12.75" customHeight="1" x14ac:dyDescent="0.25">
      <c r="A60" s="63" t="s">
        <v>824</v>
      </c>
      <c r="B60" s="192"/>
      <c r="C60" s="138">
        <f t="shared" ref="C60:H60" si="9">C57+C59</f>
        <v>9550146.2500005066</v>
      </c>
      <c r="D60" s="401">
        <f t="shared" si="9"/>
        <v>228536500</v>
      </c>
      <c r="E60" s="154">
        <f t="shared" si="9"/>
        <v>-58869259.25</v>
      </c>
      <c r="F60" s="55">
        <f t="shared" si="9"/>
        <v>5309854.0800000876</v>
      </c>
      <c r="G60" s="154">
        <f t="shared" si="9"/>
        <v>82492701.57000035</v>
      </c>
      <c r="H60" s="55">
        <f t="shared" si="9"/>
        <v>40796831.730000943</v>
      </c>
      <c r="I60" s="716"/>
      <c r="J60" s="396"/>
      <c r="K60" s="128">
        <f>K57+K59</f>
        <v>-58869259.25</v>
      </c>
    </row>
    <row r="61" spans="1:256" ht="12.75" customHeight="1" x14ac:dyDescent="0.25">
      <c r="A61" s="313" t="str">
        <f>head27a</f>
        <v>References</v>
      </c>
      <c r="B61" s="313"/>
      <c r="C61" s="313"/>
      <c r="D61" s="313"/>
      <c r="E61" s="313"/>
      <c r="F61" s="313"/>
      <c r="G61" s="313"/>
      <c r="H61" s="313"/>
      <c r="I61" s="313"/>
      <c r="J61" s="313" t="str">
        <f t="shared" si="1"/>
        <v/>
      </c>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c r="HN61" s="313"/>
      <c r="HO61" s="313"/>
      <c r="HP61" s="313"/>
      <c r="HQ61" s="313"/>
      <c r="HR61" s="313"/>
      <c r="HS61" s="313"/>
      <c r="HT61" s="313"/>
      <c r="HU61" s="313"/>
      <c r="HV61" s="313"/>
      <c r="HW61" s="313"/>
      <c r="HX61" s="313"/>
      <c r="HY61" s="313"/>
      <c r="HZ61" s="313"/>
      <c r="IA61" s="313"/>
      <c r="IB61" s="313"/>
      <c r="IC61" s="313"/>
      <c r="ID61" s="313"/>
      <c r="IE61" s="313"/>
      <c r="IF61" s="313"/>
      <c r="IG61" s="313"/>
      <c r="IH61" s="313"/>
      <c r="II61" s="313"/>
      <c r="IJ61" s="313"/>
      <c r="IK61" s="313"/>
      <c r="IL61" s="313"/>
      <c r="IM61" s="313"/>
      <c r="IN61" s="313"/>
      <c r="IO61" s="313"/>
      <c r="IP61" s="313"/>
      <c r="IQ61" s="313"/>
      <c r="IR61" s="313"/>
      <c r="IS61" s="313"/>
      <c r="IT61" s="313"/>
      <c r="IU61" s="313"/>
      <c r="IV61" s="313"/>
    </row>
    <row r="62" spans="1:256" ht="12.75" customHeight="1" x14ac:dyDescent="0.25">
      <c r="A62" s="73" t="s">
        <v>124</v>
      </c>
      <c r="B62" s="313"/>
      <c r="C62" s="313"/>
      <c r="D62" s="313"/>
      <c r="E62" s="313"/>
      <c r="F62" s="313"/>
      <c r="G62" s="313"/>
      <c r="H62" s="313"/>
      <c r="I62" s="313"/>
      <c r="J62" s="313" t="str">
        <f t="shared" si="1"/>
        <v/>
      </c>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D62" s="313"/>
      <c r="BE62" s="313"/>
      <c r="BF62" s="313"/>
      <c r="BG62" s="313"/>
      <c r="BH62" s="313"/>
      <c r="BI62" s="313"/>
      <c r="BJ62" s="313"/>
      <c r="BK62" s="313"/>
      <c r="BL62" s="313"/>
      <c r="BM62" s="313"/>
      <c r="BN62" s="313"/>
      <c r="BO62" s="313"/>
      <c r="BP62" s="313"/>
      <c r="BQ62" s="313"/>
      <c r="BR62" s="313"/>
      <c r="BS62" s="313"/>
      <c r="BT62" s="313"/>
      <c r="BU62" s="313"/>
      <c r="BV62" s="313"/>
      <c r="BW62" s="313"/>
      <c r="BX62" s="313"/>
      <c r="BY62" s="313"/>
      <c r="BZ62" s="313"/>
      <c r="CA62" s="313"/>
      <c r="CB62" s="313"/>
      <c r="CC62" s="313"/>
      <c r="CD62" s="313"/>
      <c r="CE62" s="313"/>
      <c r="CF62" s="313"/>
      <c r="CG62" s="313"/>
      <c r="CH62" s="313"/>
      <c r="CI62" s="313"/>
      <c r="CJ62" s="313"/>
      <c r="CK62" s="313"/>
      <c r="CL62" s="313"/>
      <c r="CM62" s="313"/>
      <c r="CN62" s="313"/>
      <c r="CO62" s="313"/>
      <c r="CP62" s="313"/>
      <c r="CQ62" s="313"/>
      <c r="CR62" s="313"/>
      <c r="CS62" s="313"/>
      <c r="CT62" s="313"/>
      <c r="CU62" s="313"/>
      <c r="CV62" s="313"/>
      <c r="CW62" s="313"/>
      <c r="CX62" s="313"/>
      <c r="CY62" s="313"/>
      <c r="CZ62" s="313"/>
      <c r="DA62" s="313"/>
      <c r="DB62" s="313"/>
      <c r="DC62" s="313"/>
      <c r="DD62" s="313"/>
      <c r="DE62" s="313"/>
      <c r="DF62" s="313"/>
      <c r="DG62" s="313"/>
      <c r="DH62" s="313"/>
      <c r="DI62" s="313"/>
      <c r="DJ62" s="313"/>
      <c r="DK62" s="313"/>
      <c r="DL62" s="313"/>
      <c r="DM62" s="313"/>
      <c r="DN62" s="313"/>
      <c r="DO62" s="313"/>
      <c r="DP62" s="313"/>
      <c r="DQ62" s="313"/>
      <c r="DR62" s="313"/>
      <c r="DS62" s="313"/>
      <c r="DT62" s="313"/>
      <c r="DU62" s="313"/>
      <c r="DV62" s="313"/>
      <c r="DW62" s="313"/>
      <c r="DX62" s="313"/>
      <c r="DY62" s="313"/>
      <c r="DZ62" s="313"/>
      <c r="EA62" s="313"/>
      <c r="EB62" s="313"/>
      <c r="EC62" s="313"/>
      <c r="ED62" s="313"/>
      <c r="EE62" s="313"/>
      <c r="EF62" s="313"/>
      <c r="EG62" s="313"/>
      <c r="EH62" s="313"/>
      <c r="EI62" s="313"/>
      <c r="EJ62" s="313"/>
      <c r="EK62" s="313"/>
      <c r="EL62" s="313"/>
      <c r="EM62" s="313"/>
      <c r="EN62" s="313"/>
      <c r="EO62" s="313"/>
      <c r="EP62" s="313"/>
      <c r="EQ62" s="313"/>
      <c r="ER62" s="313"/>
      <c r="ES62" s="313"/>
      <c r="ET62" s="313"/>
      <c r="EU62" s="313"/>
      <c r="EV62" s="313"/>
      <c r="EW62" s="313"/>
      <c r="EX62" s="313"/>
      <c r="EY62" s="313"/>
      <c r="EZ62" s="313"/>
      <c r="FA62" s="313"/>
      <c r="FB62" s="313"/>
      <c r="FC62" s="313"/>
      <c r="FD62" s="313"/>
      <c r="FE62" s="313"/>
      <c r="FF62" s="313"/>
      <c r="FG62" s="313"/>
      <c r="FH62" s="313"/>
      <c r="FI62" s="313"/>
      <c r="FJ62" s="313"/>
      <c r="FK62" s="313"/>
      <c r="FL62" s="313"/>
      <c r="FM62" s="313"/>
      <c r="FN62" s="313"/>
      <c r="FO62" s="313"/>
      <c r="FP62" s="313"/>
      <c r="FQ62" s="313"/>
      <c r="FR62" s="313"/>
      <c r="FS62" s="313"/>
      <c r="FT62" s="313"/>
      <c r="FU62" s="313"/>
      <c r="FV62" s="313"/>
      <c r="FW62" s="313"/>
      <c r="FX62" s="313"/>
      <c r="FY62" s="313"/>
      <c r="FZ62" s="313"/>
      <c r="GA62" s="313"/>
      <c r="GB62" s="313"/>
      <c r="GC62" s="313"/>
      <c r="GD62" s="313"/>
      <c r="GE62" s="313"/>
      <c r="GF62" s="313"/>
      <c r="GG62" s="313"/>
      <c r="GH62" s="313"/>
      <c r="GI62" s="313"/>
      <c r="GJ62" s="313"/>
      <c r="GK62" s="313"/>
      <c r="GL62" s="313"/>
      <c r="GM62" s="313"/>
      <c r="GN62" s="313"/>
      <c r="GO62" s="313"/>
      <c r="GP62" s="313"/>
      <c r="GQ62" s="313"/>
      <c r="GR62" s="313"/>
      <c r="GS62" s="313"/>
      <c r="GT62" s="313"/>
      <c r="GU62" s="313"/>
      <c r="GV62" s="313"/>
      <c r="GW62" s="313"/>
      <c r="GX62" s="313"/>
      <c r="GY62" s="313"/>
      <c r="GZ62" s="313"/>
      <c r="HA62" s="313"/>
      <c r="HB62" s="313"/>
      <c r="HC62" s="313"/>
      <c r="HD62" s="313"/>
      <c r="HE62" s="313"/>
      <c r="HF62" s="313"/>
      <c r="HG62" s="313"/>
      <c r="HH62" s="313"/>
      <c r="HI62" s="313"/>
      <c r="HJ62" s="313"/>
      <c r="HK62" s="313"/>
      <c r="HL62" s="313"/>
      <c r="HM62" s="313"/>
      <c r="HN62" s="313"/>
      <c r="HO62" s="313"/>
      <c r="HP62" s="313"/>
      <c r="HQ62" s="313"/>
      <c r="HR62" s="313"/>
      <c r="HS62" s="313"/>
      <c r="HT62" s="313"/>
      <c r="HU62" s="313"/>
      <c r="HV62" s="313"/>
      <c r="HW62" s="313"/>
      <c r="HX62" s="313"/>
      <c r="HY62" s="313"/>
      <c r="HZ62" s="313"/>
      <c r="IA62" s="313"/>
      <c r="IB62" s="313"/>
      <c r="IC62" s="313"/>
      <c r="ID62" s="313"/>
      <c r="IE62" s="313"/>
      <c r="IF62" s="313"/>
      <c r="IG62" s="313"/>
      <c r="IH62" s="313"/>
      <c r="II62" s="313"/>
      <c r="IJ62" s="313"/>
      <c r="IK62" s="313"/>
      <c r="IL62" s="313"/>
      <c r="IM62" s="313"/>
      <c r="IN62" s="313"/>
      <c r="IO62" s="313"/>
      <c r="IP62" s="313"/>
      <c r="IQ62" s="313"/>
      <c r="IR62" s="313"/>
      <c r="IS62" s="313"/>
      <c r="IT62" s="313"/>
      <c r="IU62" s="313"/>
      <c r="IV62" s="313"/>
    </row>
    <row r="63" spans="1:256" ht="11.25" customHeight="1" x14ac:dyDescent="0.25">
      <c r="C63" s="316"/>
      <c r="D63" s="316"/>
      <c r="E63" s="316"/>
      <c r="F63" s="316"/>
      <c r="G63" s="316"/>
      <c r="H63" s="316"/>
      <c r="I63" s="313"/>
      <c r="J63" s="313" t="str">
        <f t="shared" si="1"/>
        <v/>
      </c>
      <c r="K63" s="316"/>
    </row>
    <row r="64" spans="1:256" ht="11.25" customHeight="1" x14ac:dyDescent="0.25">
      <c r="A64" s="73"/>
      <c r="C64" s="316"/>
      <c r="D64" s="316"/>
      <c r="E64" s="316"/>
      <c r="F64" s="316"/>
      <c r="G64" s="316"/>
      <c r="H64" s="316"/>
      <c r="I64" s="313"/>
      <c r="J64" s="313" t="str">
        <f t="shared" si="1"/>
        <v/>
      </c>
      <c r="K64" s="316"/>
    </row>
    <row r="65" spans="1:11" ht="11.25" customHeight="1" x14ac:dyDescent="0.25">
      <c r="A65" s="403" t="str">
        <f>A33&amp;" including capital transfers/contributions etc"</f>
        <v>Total Revenue (excluding capital transfers and contributions) including capital transfers/contributions etc</v>
      </c>
      <c r="C65" s="316">
        <f t="shared" ref="C65:H65" si="10">C33+SUM(C50:C51)</f>
        <v>5266009224.5300007</v>
      </c>
      <c r="D65" s="316">
        <f t="shared" si="10"/>
        <v>5818454800</v>
      </c>
      <c r="E65" s="316">
        <f t="shared" si="10"/>
        <v>5565047847</v>
      </c>
      <c r="F65" s="316">
        <f t="shared" si="10"/>
        <v>386113216.23000008</v>
      </c>
      <c r="G65" s="316">
        <f t="shared" si="10"/>
        <v>4617495441.4000006</v>
      </c>
      <c r="H65" s="316">
        <f t="shared" si="10"/>
        <v>4623794000.7799997</v>
      </c>
      <c r="I65" s="316">
        <f t="shared" si="0"/>
        <v>-6298559.3799991608</v>
      </c>
      <c r="J65" s="316">
        <f t="shared" si="1"/>
        <v>-1.3622058809143833E-3</v>
      </c>
      <c r="K65" s="316">
        <f>K33+SUM(K50:K51)</f>
        <v>5565047847</v>
      </c>
    </row>
    <row r="66" spans="1:11" ht="11.25" customHeight="1" x14ac:dyDescent="0.25">
      <c r="A66" s="73"/>
      <c r="C66" s="316"/>
      <c r="D66" s="316"/>
      <c r="E66" s="316"/>
      <c r="F66" s="316"/>
      <c r="G66" s="316"/>
      <c r="H66" s="316"/>
      <c r="I66" s="316"/>
      <c r="J66" s="316"/>
      <c r="K66" s="316"/>
    </row>
    <row r="67" spans="1:11" ht="11.25" customHeight="1" x14ac:dyDescent="0.25">
      <c r="A67" s="73"/>
      <c r="C67" s="316"/>
      <c r="D67" s="316"/>
      <c r="E67" s="316"/>
      <c r="F67" s="316"/>
      <c r="G67" s="316"/>
      <c r="H67" s="316"/>
      <c r="I67" s="316"/>
      <c r="J67" s="316"/>
      <c r="K67" s="316"/>
    </row>
    <row r="68" spans="1:11" ht="11.25" customHeight="1" x14ac:dyDescent="0.25">
      <c r="A68" s="73"/>
      <c r="C68" s="316"/>
      <c r="D68" s="316"/>
      <c r="E68" s="316"/>
      <c r="F68" s="316"/>
      <c r="G68" s="316"/>
      <c r="H68" s="316"/>
      <c r="I68" s="316"/>
      <c r="J68" s="316"/>
      <c r="K68" s="316"/>
    </row>
    <row r="69" spans="1:11" ht="11.25" customHeight="1" x14ac:dyDescent="0.25">
      <c r="A69" s="45"/>
      <c r="B69" s="44"/>
      <c r="C69" s="404"/>
      <c r="D69" s="316">
        <f>D26+D50</f>
        <v>806348000</v>
      </c>
      <c r="E69" s="316">
        <f t="shared" ref="E69:K69" si="11">E26+E50</f>
        <v>819705300</v>
      </c>
      <c r="F69" s="316">
        <f t="shared" si="11"/>
        <v>22694507.57</v>
      </c>
      <c r="G69" s="316">
        <f t="shared" si="11"/>
        <v>745079296.68000007</v>
      </c>
      <c r="H69" s="316">
        <f t="shared" si="11"/>
        <v>768881594.96000004</v>
      </c>
      <c r="I69" s="316">
        <f t="shared" si="11"/>
        <v>-23802298.280000001</v>
      </c>
      <c r="J69" s="316">
        <f t="shared" si="11"/>
        <v>-6.8545000578270357E-2</v>
      </c>
      <c r="K69" s="316">
        <f t="shared" si="11"/>
        <v>819705300</v>
      </c>
    </row>
    <row r="70" spans="1:11" ht="11.25" customHeight="1" x14ac:dyDescent="0.25">
      <c r="A70" s="45"/>
      <c r="B70" s="44"/>
      <c r="C70" s="375"/>
      <c r="D70" s="375"/>
      <c r="E70" s="375"/>
      <c r="F70" s="375"/>
      <c r="G70" s="375"/>
      <c r="H70" s="375"/>
      <c r="I70" s="375"/>
      <c r="J70" s="375"/>
      <c r="K70" s="375"/>
    </row>
    <row r="71" spans="1:11" ht="11.25" customHeight="1" x14ac:dyDescent="0.25">
      <c r="B71" s="21"/>
    </row>
    <row r="72" spans="1:11" ht="11.25" customHeight="1" x14ac:dyDescent="0.25">
      <c r="B72" s="21"/>
    </row>
    <row r="73" spans="1:11" ht="11.25" customHeight="1" x14ac:dyDescent="0.25">
      <c r="B73" s="21"/>
    </row>
    <row r="74" spans="1:11" ht="11.25" customHeight="1" x14ac:dyDescent="0.25">
      <c r="B74" s="21"/>
    </row>
    <row r="75" spans="1:11" ht="11.25" customHeight="1" x14ac:dyDescent="0.25">
      <c r="B75" s="21"/>
    </row>
    <row r="76" spans="1:11" ht="11.25" customHeight="1" x14ac:dyDescent="0.25">
      <c r="B76" s="21"/>
    </row>
    <row r="77" spans="1:11" ht="11.25" customHeight="1" x14ac:dyDescent="0.25">
      <c r="B77" s="21"/>
    </row>
    <row r="78" spans="1:11" ht="11.25" customHeight="1" x14ac:dyDescent="0.25">
      <c r="B78" s="21"/>
    </row>
    <row r="79" spans="1:11" ht="11.25" customHeight="1" x14ac:dyDescent="0.25">
      <c r="B79" s="21"/>
    </row>
    <row r="80" spans="1:11" ht="11.25" customHeight="1" x14ac:dyDescent="0.25">
      <c r="B80" s="21"/>
    </row>
    <row r="81" spans="2:2" ht="11.25" customHeight="1" x14ac:dyDescent="0.25">
      <c r="B81" s="21"/>
    </row>
    <row r="82" spans="2:2" ht="11.25" customHeight="1" x14ac:dyDescent="0.25">
      <c r="B82" s="21"/>
    </row>
    <row r="83" spans="2:2" ht="11.25" customHeight="1" x14ac:dyDescent="0.25">
      <c r="B83" s="21"/>
    </row>
    <row r="84" spans="2:2" ht="11.25" customHeight="1" x14ac:dyDescent="0.25">
      <c r="B84" s="21"/>
    </row>
    <row r="85" spans="2:2" ht="11.25" customHeight="1" x14ac:dyDescent="0.25">
      <c r="B85" s="21"/>
    </row>
    <row r="86" spans="2:2" ht="11.25" customHeight="1" x14ac:dyDescent="0.25">
      <c r="B86" s="21"/>
    </row>
    <row r="87" spans="2:2" ht="11.25" customHeight="1" x14ac:dyDescent="0.25">
      <c r="B87" s="21"/>
    </row>
    <row r="88" spans="2:2" ht="11.25" customHeight="1" x14ac:dyDescent="0.25">
      <c r="B88" s="21"/>
    </row>
    <row r="89" spans="2:2" ht="11.25" customHeight="1" x14ac:dyDescent="0.25">
      <c r="B89" s="21"/>
    </row>
    <row r="90" spans="2:2" ht="11.25" customHeight="1" x14ac:dyDescent="0.25">
      <c r="B90" s="21"/>
    </row>
    <row r="91" spans="2:2" ht="11.25" customHeight="1" x14ac:dyDescent="0.25">
      <c r="B91" s="21"/>
    </row>
    <row r="92" spans="2:2" ht="11.25" customHeight="1" x14ac:dyDescent="0.25">
      <c r="B92" s="21"/>
    </row>
    <row r="93" spans="2:2" ht="11.25" customHeight="1" x14ac:dyDescent="0.25">
      <c r="B93" s="21"/>
    </row>
    <row r="94" spans="2:2" ht="11.25" customHeight="1" x14ac:dyDescent="0.25">
      <c r="B94" s="21"/>
    </row>
    <row r="95" spans="2:2" ht="11.25" customHeight="1" x14ac:dyDescent="0.25">
      <c r="B95" s="21"/>
    </row>
    <row r="96" spans="2:2" ht="11.25" customHeight="1" x14ac:dyDescent="0.25">
      <c r="B96" s="21"/>
    </row>
    <row r="97" spans="2:2" ht="11.25" customHeight="1" x14ac:dyDescent="0.25">
      <c r="B97" s="21"/>
    </row>
    <row r="98" spans="2:2" ht="11.25" customHeight="1" x14ac:dyDescent="0.25">
      <c r="B98" s="21"/>
    </row>
    <row r="99" spans="2:2" ht="11.25" customHeight="1" x14ac:dyDescent="0.25">
      <c r="B99" s="21"/>
    </row>
    <row r="100" spans="2:2" ht="11.25" customHeight="1" x14ac:dyDescent="0.25">
      <c r="B100" s="21"/>
    </row>
    <row r="101" spans="2:2" ht="11.25" customHeight="1" x14ac:dyDescent="0.25">
      <c r="B101" s="21"/>
    </row>
    <row r="102" spans="2:2" ht="11.25" customHeight="1" x14ac:dyDescent="0.25">
      <c r="B102" s="21"/>
    </row>
    <row r="103" spans="2:2" ht="11.25" customHeight="1" x14ac:dyDescent="0.25">
      <c r="B103" s="21"/>
    </row>
    <row r="104" spans="2:2" ht="11.25" customHeight="1" x14ac:dyDescent="0.25"/>
    <row r="105" spans="2:2" ht="11.25" customHeight="1" x14ac:dyDescent="0.25"/>
  </sheetData>
  <mergeCells count="4">
    <mergeCell ref="A2:A3"/>
    <mergeCell ref="B2:B3"/>
    <mergeCell ref="D2:K2"/>
    <mergeCell ref="A1:K1"/>
  </mergeCells>
  <phoneticPr fontId="2" type="noConversion"/>
  <printOptions horizontalCentered="1"/>
  <pageMargins left="0.35433070866141736" right="0.15748031496062992" top="0.78740157480314965" bottom="0.59055118110236227" header="0.51181102362204722" footer="0.39370078740157483"/>
  <pageSetup paperSize="8" scale="95" orientation="portrait" r:id="rId1"/>
  <headerFooter alignWithMargins="0">
    <oddFooter>&amp;L&amp;F&amp;C&amp;A&amp;R&amp;D</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4894"/>
  <sheetViews>
    <sheetView topLeftCell="A19" workbookViewId="0">
      <selection activeCell="A58" sqref="A58"/>
    </sheetView>
  </sheetViews>
  <sheetFormatPr defaultRowHeight="12.75" x14ac:dyDescent="0.2"/>
  <cols>
    <col min="1" max="1" width="44.5703125" customWidth="1"/>
    <col min="2" max="2" width="15" customWidth="1"/>
    <col min="3" max="3" width="13.5703125" customWidth="1"/>
    <col min="4" max="4" width="14.28515625" customWidth="1"/>
    <col min="5" max="5" width="13.7109375" customWidth="1"/>
    <col min="6" max="6" width="17.85546875" customWidth="1"/>
    <col min="7" max="7" width="17.7109375" customWidth="1"/>
    <col min="8" max="8" width="12.42578125" customWidth="1"/>
    <col min="9" max="9" width="19.7109375" customWidth="1"/>
    <col min="10" max="10" width="16" customWidth="1"/>
  </cols>
  <sheetData>
    <row r="1" spans="1:10" x14ac:dyDescent="0.2">
      <c r="A1" s="659" t="s">
        <v>973</v>
      </c>
      <c r="B1" s="660" t="s">
        <v>471</v>
      </c>
      <c r="C1" s="660" t="s">
        <v>558</v>
      </c>
      <c r="D1" s="660" t="s">
        <v>773</v>
      </c>
      <c r="E1" s="660" t="s">
        <v>1545</v>
      </c>
      <c r="F1" s="660" t="s">
        <v>1546</v>
      </c>
      <c r="G1" s="660" t="s">
        <v>1547</v>
      </c>
      <c r="H1" s="660" t="s">
        <v>1548</v>
      </c>
      <c r="I1" s="660" t="s">
        <v>1549</v>
      </c>
      <c r="J1" s="660" t="s">
        <v>774</v>
      </c>
    </row>
    <row r="2" spans="1:10" x14ac:dyDescent="0.2">
      <c r="A2" s="659" t="s">
        <v>1584</v>
      </c>
      <c r="B2" s="661" t="s">
        <v>973</v>
      </c>
      <c r="C2" s="661" t="s">
        <v>973</v>
      </c>
      <c r="D2" s="661" t="s">
        <v>973</v>
      </c>
      <c r="E2" s="661" t="s">
        <v>973</v>
      </c>
      <c r="F2" s="661" t="s">
        <v>973</v>
      </c>
      <c r="G2" s="661" t="s">
        <v>973</v>
      </c>
      <c r="H2" s="661" t="s">
        <v>973</v>
      </c>
      <c r="I2" s="661" t="s">
        <v>528</v>
      </c>
      <c r="J2" s="661" t="s">
        <v>973</v>
      </c>
    </row>
    <row r="3" spans="1:10" x14ac:dyDescent="0.2">
      <c r="A3" s="639" t="s">
        <v>1585</v>
      </c>
      <c r="B3" s="637">
        <v>132159590.38</v>
      </c>
      <c r="C3" s="637">
        <v>-1152943983.9000001</v>
      </c>
      <c r="D3" s="637">
        <v>402535590.10000002</v>
      </c>
      <c r="E3" s="637">
        <v>-59105793.030000001</v>
      </c>
      <c r="F3" s="637">
        <v>370111072.81999999</v>
      </c>
      <c r="G3" s="637">
        <v>265770247.72</v>
      </c>
      <c r="H3" s="637">
        <v>-104340825.09999999</v>
      </c>
      <c r="I3" s="637">
        <v>-39.259783965708401</v>
      </c>
      <c r="J3" s="637">
        <v>402535590.10000002</v>
      </c>
    </row>
    <row r="4" spans="1:10" x14ac:dyDescent="0.2">
      <c r="A4" s="640" t="s">
        <v>1586</v>
      </c>
      <c r="B4" s="637">
        <v>-5007703286.0100002</v>
      </c>
      <c r="C4" s="637">
        <v>-5599451800</v>
      </c>
      <c r="D4" s="637">
        <v>-5338039747</v>
      </c>
      <c r="E4" s="637">
        <v>-364408539.06</v>
      </c>
      <c r="F4" s="637">
        <v>-4450547401.4700003</v>
      </c>
      <c r="G4" s="637">
        <v>-4449830308.3000002</v>
      </c>
      <c r="H4" s="637">
        <v>717093.17</v>
      </c>
      <c r="I4" s="637">
        <v>1.61150677737632E-2</v>
      </c>
      <c r="J4" s="637">
        <v>-5338039747</v>
      </c>
    </row>
    <row r="5" spans="1:10" x14ac:dyDescent="0.2">
      <c r="A5" s="651" t="s">
        <v>1587</v>
      </c>
      <c r="B5" s="637">
        <v>-3044443154.6599998</v>
      </c>
      <c r="C5" s="637">
        <v>-3601304800</v>
      </c>
      <c r="D5" s="637">
        <v>-3338881247</v>
      </c>
      <c r="E5" s="637">
        <v>-267550610.24000001</v>
      </c>
      <c r="F5" s="637">
        <v>-2709099487.23</v>
      </c>
      <c r="G5" s="637">
        <v>-2685934468.8899999</v>
      </c>
      <c r="H5" s="637">
        <v>23165018.34</v>
      </c>
      <c r="I5" s="637">
        <v>0.86245657175594703</v>
      </c>
      <c r="J5" s="637">
        <v>-3338881247</v>
      </c>
    </row>
    <row r="6" spans="1:10" x14ac:dyDescent="0.2">
      <c r="A6" s="652" t="s">
        <v>1588</v>
      </c>
      <c r="B6" s="637">
        <v>-2025106963.6700001</v>
      </c>
      <c r="C6" s="637">
        <v>-2542822400</v>
      </c>
      <c r="D6" s="637">
        <v>-2348456700</v>
      </c>
      <c r="E6" s="637">
        <v>-189718855.43000001</v>
      </c>
      <c r="F6" s="637">
        <v>-1934303167.9400001</v>
      </c>
      <c r="G6" s="637">
        <v>-1894626315.8900001</v>
      </c>
      <c r="H6" s="637">
        <v>39676852.049999997</v>
      </c>
      <c r="I6" s="637">
        <v>2.0941782407029299</v>
      </c>
      <c r="J6" s="637">
        <v>-2348456700</v>
      </c>
    </row>
    <row r="7" spans="1:10" x14ac:dyDescent="0.2">
      <c r="A7" s="652" t="s">
        <v>1589</v>
      </c>
      <c r="B7" s="637">
        <v>-562175951.11000001</v>
      </c>
      <c r="C7" s="637">
        <v>-643500000</v>
      </c>
      <c r="D7" s="637">
        <v>-572907000</v>
      </c>
      <c r="E7" s="637">
        <v>-46387181</v>
      </c>
      <c r="F7" s="637">
        <v>-466292870.76999998</v>
      </c>
      <c r="G7" s="637">
        <v>-468433851.73000002</v>
      </c>
      <c r="H7" s="637">
        <v>-2140980.96</v>
      </c>
      <c r="I7" s="637">
        <v>-0.45705086259095501</v>
      </c>
      <c r="J7" s="637">
        <v>-572907000</v>
      </c>
    </row>
    <row r="8" spans="1:10" x14ac:dyDescent="0.2">
      <c r="A8" s="652" t="s">
        <v>1590</v>
      </c>
      <c r="B8" s="637">
        <v>-121497290.13</v>
      </c>
      <c r="C8" s="637">
        <v>-132281600</v>
      </c>
      <c r="D8" s="637">
        <v>-132281600</v>
      </c>
      <c r="E8" s="637">
        <v>-11178123.380000001</v>
      </c>
      <c r="F8" s="637">
        <v>-112129102.98999999</v>
      </c>
      <c r="G8" s="637">
        <v>-113776559.43000001</v>
      </c>
      <c r="H8" s="637">
        <v>-1647456.44</v>
      </c>
      <c r="I8" s="637">
        <v>-1.4479752668330399</v>
      </c>
      <c r="J8" s="637">
        <v>-132281600</v>
      </c>
    </row>
    <row r="9" spans="1:10" x14ac:dyDescent="0.2">
      <c r="A9" s="652" t="s">
        <v>1591</v>
      </c>
      <c r="B9" s="637">
        <v>-117337974.23</v>
      </c>
      <c r="C9" s="637">
        <v>-120401900</v>
      </c>
      <c r="D9" s="637">
        <v>-120401900</v>
      </c>
      <c r="E9" s="637">
        <v>-10440059.050000001</v>
      </c>
      <c r="F9" s="637">
        <v>-103922803.01000001</v>
      </c>
      <c r="G9" s="637">
        <v>-102884863.06999999</v>
      </c>
      <c r="H9" s="637">
        <v>1037939.94</v>
      </c>
      <c r="I9" s="637">
        <v>1.00883639150476</v>
      </c>
      <c r="J9" s="637">
        <v>-120401900</v>
      </c>
    </row>
    <row r="10" spans="1:10" x14ac:dyDescent="0.2">
      <c r="A10" s="652" t="s">
        <v>1592</v>
      </c>
      <c r="B10" s="637">
        <v>-141092067.03</v>
      </c>
      <c r="C10" s="637">
        <v>-75525600</v>
      </c>
      <c r="D10" s="637">
        <v>-76627247</v>
      </c>
      <c r="E10" s="637">
        <v>-1085658.57</v>
      </c>
      <c r="F10" s="637">
        <v>-24239532.59</v>
      </c>
      <c r="G10" s="637">
        <v>-38659540.060000002</v>
      </c>
      <c r="H10" s="637">
        <v>-14420007.470000001</v>
      </c>
      <c r="I10" s="637">
        <v>-37.299997484760603</v>
      </c>
      <c r="J10" s="637">
        <v>-76627247</v>
      </c>
    </row>
    <row r="11" spans="1:10" x14ac:dyDescent="0.2">
      <c r="A11" s="652" t="s">
        <v>1593</v>
      </c>
      <c r="B11" s="637">
        <v>-8948305.6899999995</v>
      </c>
      <c r="C11" s="637">
        <v>-8364800</v>
      </c>
      <c r="D11" s="637">
        <v>-8364800</v>
      </c>
      <c r="E11" s="637">
        <v>-1669601.83</v>
      </c>
      <c r="F11" s="637">
        <v>-8581497.8900000006</v>
      </c>
      <c r="G11" s="637">
        <v>-7585869.5300000003</v>
      </c>
      <c r="H11" s="637">
        <v>995628.36</v>
      </c>
      <c r="I11" s="637">
        <v>13.124775690678099</v>
      </c>
      <c r="J11" s="637">
        <v>-8364800</v>
      </c>
    </row>
    <row r="12" spans="1:10" x14ac:dyDescent="0.2">
      <c r="A12" s="652" t="s">
        <v>1594</v>
      </c>
      <c r="B12" s="637"/>
      <c r="C12" s="637"/>
      <c r="D12" s="637"/>
      <c r="E12" s="637"/>
      <c r="F12" s="637"/>
      <c r="G12" s="637"/>
      <c r="H12" s="637"/>
      <c r="I12" s="637"/>
      <c r="J12" s="637"/>
    </row>
    <row r="13" spans="1:10" x14ac:dyDescent="0.2">
      <c r="A13" s="652" t="s">
        <v>1595</v>
      </c>
      <c r="B13" s="637">
        <v>-1468.42</v>
      </c>
      <c r="C13" s="637">
        <v>-29400</v>
      </c>
      <c r="D13" s="637">
        <v>-29400</v>
      </c>
      <c r="E13" s="637"/>
      <c r="F13" s="637">
        <v>-2131.54</v>
      </c>
      <c r="G13" s="637">
        <v>-2131.54</v>
      </c>
      <c r="H13" s="637">
        <v>0</v>
      </c>
      <c r="I13" s="637">
        <v>0</v>
      </c>
      <c r="J13" s="637">
        <v>-29400</v>
      </c>
    </row>
    <row r="14" spans="1:10" x14ac:dyDescent="0.2">
      <c r="A14" s="652" t="s">
        <v>1596</v>
      </c>
      <c r="B14" s="637">
        <v>-33923521.030000001</v>
      </c>
      <c r="C14" s="637">
        <v>-45000000</v>
      </c>
      <c r="D14" s="637">
        <v>-45000000</v>
      </c>
      <c r="E14" s="637">
        <v>-3825416.8</v>
      </c>
      <c r="F14" s="637">
        <v>-31388590.390000001</v>
      </c>
      <c r="G14" s="637">
        <v>-32073672.690000001</v>
      </c>
      <c r="H14" s="637">
        <v>-685082.3</v>
      </c>
      <c r="I14" s="637">
        <v>-2.1359646169039999</v>
      </c>
      <c r="J14" s="637">
        <v>-45000000</v>
      </c>
    </row>
    <row r="15" spans="1:10" x14ac:dyDescent="0.2">
      <c r="A15" s="652" t="s">
        <v>1597</v>
      </c>
      <c r="B15" s="637"/>
      <c r="C15" s="637"/>
      <c r="D15" s="637"/>
      <c r="E15" s="637"/>
      <c r="F15" s="637"/>
      <c r="G15" s="637"/>
      <c r="H15" s="637"/>
      <c r="I15" s="637"/>
      <c r="J15" s="637"/>
    </row>
    <row r="16" spans="1:10" x14ac:dyDescent="0.2">
      <c r="A16" s="652" t="s">
        <v>1598</v>
      </c>
      <c r="B16" s="637">
        <v>-1925210.08</v>
      </c>
      <c r="C16" s="637">
        <v>-1911700</v>
      </c>
      <c r="D16" s="637">
        <v>-2811700</v>
      </c>
      <c r="E16" s="637">
        <v>-181497.05</v>
      </c>
      <c r="F16" s="637">
        <v>-1659085.51</v>
      </c>
      <c r="G16" s="637">
        <v>-1866927.83</v>
      </c>
      <c r="H16" s="637">
        <v>-207842.32</v>
      </c>
      <c r="I16" s="637">
        <v>-11.132852414546701</v>
      </c>
      <c r="J16" s="637">
        <v>-2811700</v>
      </c>
    </row>
    <row r="17" spans="1:10" x14ac:dyDescent="0.2">
      <c r="A17" s="652" t="s">
        <v>1599</v>
      </c>
      <c r="B17" s="637">
        <v>-15540676.9</v>
      </c>
      <c r="C17" s="637">
        <v>-19840400</v>
      </c>
      <c r="D17" s="637">
        <v>-16264500</v>
      </c>
      <c r="E17" s="637">
        <v>-1048109.38</v>
      </c>
      <c r="F17" s="637">
        <v>-10420407.41</v>
      </c>
      <c r="G17" s="637">
        <v>-10494933.300000001</v>
      </c>
      <c r="H17" s="637">
        <v>-74525.89</v>
      </c>
      <c r="I17" s="637">
        <v>-0.71011304092804495</v>
      </c>
      <c r="J17" s="637">
        <v>-16264500</v>
      </c>
    </row>
    <row r="18" spans="1:10" x14ac:dyDescent="0.2">
      <c r="A18" s="652" t="s">
        <v>1600</v>
      </c>
      <c r="B18" s="637"/>
      <c r="C18" s="637"/>
      <c r="D18" s="637"/>
      <c r="E18" s="637"/>
      <c r="F18" s="637"/>
      <c r="G18" s="637"/>
      <c r="H18" s="637"/>
      <c r="I18" s="637"/>
      <c r="J18" s="637"/>
    </row>
    <row r="19" spans="1:10" x14ac:dyDescent="0.2">
      <c r="A19" s="652" t="s">
        <v>1601</v>
      </c>
      <c r="B19" s="637">
        <v>-16893726.370000001</v>
      </c>
      <c r="C19" s="637">
        <v>-11627000</v>
      </c>
      <c r="D19" s="637">
        <v>-15736400</v>
      </c>
      <c r="E19" s="637">
        <v>-2016107.75</v>
      </c>
      <c r="F19" s="637">
        <v>-16160297.189999999</v>
      </c>
      <c r="G19" s="637">
        <v>-15529803.82</v>
      </c>
      <c r="H19" s="637">
        <v>630493.37</v>
      </c>
      <c r="I19" s="637">
        <v>4.0598926896167304</v>
      </c>
      <c r="J19" s="637">
        <v>-15736400</v>
      </c>
    </row>
    <row r="20" spans="1:10" x14ac:dyDescent="0.2">
      <c r="A20" s="651" t="s">
        <v>1602</v>
      </c>
      <c r="B20" s="637">
        <v>-1963260131.3499999</v>
      </c>
      <c r="C20" s="637">
        <v>-1998147000</v>
      </c>
      <c r="D20" s="637">
        <v>-1999158500</v>
      </c>
      <c r="E20" s="637">
        <v>-96857928.819999993</v>
      </c>
      <c r="F20" s="637">
        <v>-1741447914.24</v>
      </c>
      <c r="G20" s="637">
        <v>-1763895839.4100001</v>
      </c>
      <c r="H20" s="637">
        <v>-22447925.170000002</v>
      </c>
      <c r="I20" s="637">
        <v>-1.27263326260288</v>
      </c>
      <c r="J20" s="637">
        <v>-1999158500</v>
      </c>
    </row>
    <row r="21" spans="1:10" x14ac:dyDescent="0.2">
      <c r="A21" s="652" t="s">
        <v>1603</v>
      </c>
      <c r="B21" s="637">
        <v>-675918334.32000005</v>
      </c>
      <c r="C21" s="637">
        <v>-778223600</v>
      </c>
      <c r="D21" s="637">
        <v>-778223600</v>
      </c>
      <c r="E21" s="637">
        <v>-58587732.939999998</v>
      </c>
      <c r="F21" s="637">
        <v>-638650203.94000006</v>
      </c>
      <c r="G21" s="637">
        <v>-647887822.46000004</v>
      </c>
      <c r="H21" s="637">
        <v>-9237618.5199999996</v>
      </c>
      <c r="I21" s="637">
        <v>-1.4258052396980101</v>
      </c>
      <c r="J21" s="637">
        <v>-778223600</v>
      </c>
    </row>
    <row r="22" spans="1:10" x14ac:dyDescent="0.2">
      <c r="A22" s="652" t="s">
        <v>1604</v>
      </c>
      <c r="B22" s="637">
        <v>-10041596.5</v>
      </c>
      <c r="C22" s="637">
        <v>-6207900</v>
      </c>
      <c r="D22" s="637">
        <v>-7832900</v>
      </c>
      <c r="E22" s="637">
        <v>-1643769.56</v>
      </c>
      <c r="F22" s="637">
        <v>-7741213.1399999997</v>
      </c>
      <c r="G22" s="637">
        <v>-6419756.7699999996</v>
      </c>
      <c r="H22" s="637">
        <v>1321456.3700000001</v>
      </c>
      <c r="I22" s="637">
        <v>20.584212414016399</v>
      </c>
      <c r="J22" s="637">
        <v>-7832900</v>
      </c>
    </row>
    <row r="23" spans="1:10" x14ac:dyDescent="0.2">
      <c r="A23" s="652" t="s">
        <v>1605</v>
      </c>
      <c r="B23" s="637">
        <v>-9928489.1199999992</v>
      </c>
      <c r="C23" s="637">
        <v>-12283600</v>
      </c>
      <c r="D23" s="637">
        <v>-5313500</v>
      </c>
      <c r="E23" s="637">
        <v>-283676.99</v>
      </c>
      <c r="F23" s="637">
        <v>-7092609.4299999997</v>
      </c>
      <c r="G23" s="637">
        <v>-4711053.18</v>
      </c>
      <c r="H23" s="637">
        <v>2381556.25</v>
      </c>
      <c r="I23" s="637">
        <v>50.552523162135003</v>
      </c>
      <c r="J23" s="637">
        <v>-5313500</v>
      </c>
    </row>
    <row r="24" spans="1:10" x14ac:dyDescent="0.2">
      <c r="A24" s="652" t="s">
        <v>1606</v>
      </c>
      <c r="B24" s="637">
        <v>-3551648.54</v>
      </c>
      <c r="C24" s="637">
        <v>-3631700</v>
      </c>
      <c r="D24" s="637">
        <v>-3631700</v>
      </c>
      <c r="E24" s="637">
        <v>-212272.18</v>
      </c>
      <c r="F24" s="637">
        <v>-2998240</v>
      </c>
      <c r="G24" s="637">
        <v>-3043698.53</v>
      </c>
      <c r="H24" s="637">
        <v>-45458.53</v>
      </c>
      <c r="I24" s="637">
        <v>-1.4935293213812499</v>
      </c>
      <c r="J24" s="637">
        <v>-3631700</v>
      </c>
    </row>
    <row r="25" spans="1:10" x14ac:dyDescent="0.2">
      <c r="A25" s="652" t="s">
        <v>1607</v>
      </c>
      <c r="B25" s="637">
        <v>-554728226.22000003</v>
      </c>
      <c r="C25" s="637">
        <v>-587345000</v>
      </c>
      <c r="D25" s="637">
        <v>-592697200</v>
      </c>
      <c r="E25" s="637">
        <v>-989830.4</v>
      </c>
      <c r="F25" s="637">
        <v>-578131256.75</v>
      </c>
      <c r="G25" s="637">
        <v>-594917902.48000002</v>
      </c>
      <c r="H25" s="637">
        <v>-16786645.73</v>
      </c>
      <c r="I25" s="637">
        <v>-2.8216743285119601</v>
      </c>
      <c r="J25" s="637">
        <v>-592697200</v>
      </c>
    </row>
    <row r="26" spans="1:10" x14ac:dyDescent="0.2">
      <c r="A26" s="652" t="s">
        <v>1608</v>
      </c>
      <c r="B26" s="637">
        <v>-1335393.48</v>
      </c>
      <c r="C26" s="637">
        <v>-870000</v>
      </c>
      <c r="D26" s="637">
        <v>-1870000</v>
      </c>
      <c r="E26" s="637">
        <v>-156746.48000000001</v>
      </c>
      <c r="F26" s="637">
        <v>-1584376.39</v>
      </c>
      <c r="G26" s="637">
        <v>-1440208.78</v>
      </c>
      <c r="H26" s="637">
        <v>144167.60999999999</v>
      </c>
      <c r="I26" s="637">
        <v>10.0101882450682</v>
      </c>
      <c r="J26" s="637">
        <v>-1870000</v>
      </c>
    </row>
    <row r="27" spans="1:10" x14ac:dyDescent="0.2">
      <c r="A27" s="652" t="s">
        <v>1609</v>
      </c>
      <c r="B27" s="637"/>
      <c r="C27" s="637"/>
      <c r="D27" s="637"/>
      <c r="E27" s="637"/>
      <c r="F27" s="637"/>
      <c r="G27" s="637"/>
      <c r="H27" s="637"/>
      <c r="I27" s="637"/>
      <c r="J27" s="637"/>
    </row>
    <row r="28" spans="1:10" x14ac:dyDescent="0.2">
      <c r="A28" s="652" t="s">
        <v>1610</v>
      </c>
      <c r="B28" s="637"/>
      <c r="C28" s="637"/>
      <c r="D28" s="637"/>
      <c r="E28" s="637"/>
      <c r="F28" s="637"/>
      <c r="G28" s="637"/>
      <c r="H28" s="637"/>
      <c r="I28" s="637"/>
      <c r="J28" s="637"/>
    </row>
    <row r="29" spans="1:10" x14ac:dyDescent="0.2">
      <c r="A29" s="652" t="s">
        <v>1611</v>
      </c>
      <c r="B29" s="637">
        <v>-98652578.5</v>
      </c>
      <c r="C29" s="637"/>
      <c r="D29" s="637">
        <v>0</v>
      </c>
      <c r="E29" s="637"/>
      <c r="F29" s="637">
        <v>-12656614.41</v>
      </c>
      <c r="G29" s="637">
        <v>-10792173.91</v>
      </c>
      <c r="H29" s="637">
        <v>1864440.5</v>
      </c>
      <c r="I29" s="637">
        <v>17.275856704573801</v>
      </c>
      <c r="J29" s="637">
        <v>0</v>
      </c>
    </row>
    <row r="30" spans="1:10" x14ac:dyDescent="0.2">
      <c r="A30" s="652" t="s">
        <v>1612</v>
      </c>
      <c r="B30" s="637">
        <v>-609103864.66999996</v>
      </c>
      <c r="C30" s="637">
        <v>-609585200</v>
      </c>
      <c r="D30" s="637">
        <v>-609589600</v>
      </c>
      <c r="E30" s="637">
        <v>-34983900.270000003</v>
      </c>
      <c r="F30" s="637">
        <v>-492593400.18000001</v>
      </c>
      <c r="G30" s="637">
        <v>-494683223.30000001</v>
      </c>
      <c r="H30" s="637">
        <v>-2089823.12</v>
      </c>
      <c r="I30" s="637">
        <v>-0.42245684138203099</v>
      </c>
      <c r="J30" s="637">
        <v>-609589600</v>
      </c>
    </row>
    <row r="31" spans="1:10" x14ac:dyDescent="0.2">
      <c r="A31" s="652" t="s">
        <v>1613</v>
      </c>
      <c r="B31" s="637"/>
      <c r="C31" s="637"/>
      <c r="D31" s="637"/>
      <c r="E31" s="637"/>
      <c r="F31" s="637"/>
      <c r="G31" s="637"/>
      <c r="H31" s="637"/>
      <c r="I31" s="637"/>
      <c r="J31" s="637"/>
    </row>
    <row r="32" spans="1:10" x14ac:dyDescent="0.2">
      <c r="A32" s="640" t="s">
        <v>1614</v>
      </c>
      <c r="B32" s="637">
        <v>5256459078.2799997</v>
      </c>
      <c r="C32" s="637">
        <v>5589918300</v>
      </c>
      <c r="D32" s="637">
        <v>5623917106.25</v>
      </c>
      <c r="E32" s="637">
        <v>380803362.14999998</v>
      </c>
      <c r="F32" s="637">
        <v>4535002739.8299999</v>
      </c>
      <c r="G32" s="637">
        <v>4582997169.0500002</v>
      </c>
      <c r="H32" s="637">
        <v>47994429.219999999</v>
      </c>
      <c r="I32" s="637">
        <v>1.04722799185033</v>
      </c>
      <c r="J32" s="637">
        <v>5623917106.25</v>
      </c>
    </row>
    <row r="33" spans="1:10" x14ac:dyDescent="0.2">
      <c r="A33" s="651" t="s">
        <v>1615</v>
      </c>
      <c r="B33" s="637">
        <v>5256459078.2799997</v>
      </c>
      <c r="C33" s="637">
        <v>5589918300</v>
      </c>
      <c r="D33" s="637">
        <v>5623917106.25</v>
      </c>
      <c r="E33" s="637">
        <v>380803362.14999998</v>
      </c>
      <c r="F33" s="637">
        <v>4535002739.8299999</v>
      </c>
      <c r="G33" s="637">
        <v>4582997169.0500002</v>
      </c>
      <c r="H33" s="637">
        <v>47994429.219999999</v>
      </c>
      <c r="I33" s="637">
        <v>1.04722799185033</v>
      </c>
      <c r="J33" s="637">
        <v>5623917106.25</v>
      </c>
    </row>
    <row r="34" spans="1:10" x14ac:dyDescent="0.2">
      <c r="A34" s="652" t="s">
        <v>1616</v>
      </c>
      <c r="B34" s="637">
        <v>1155996572.21</v>
      </c>
      <c r="C34" s="637">
        <v>1257067700</v>
      </c>
      <c r="D34" s="637">
        <v>1197348600</v>
      </c>
      <c r="E34" s="637">
        <v>92704825.790000007</v>
      </c>
      <c r="F34" s="637">
        <v>948543138.57000005</v>
      </c>
      <c r="G34" s="637">
        <v>972580606.50999999</v>
      </c>
      <c r="H34" s="637">
        <v>24037467.940000001</v>
      </c>
      <c r="I34" s="637">
        <v>2.4715142147709299</v>
      </c>
      <c r="J34" s="637">
        <v>1197348600</v>
      </c>
    </row>
    <row r="35" spans="1:10" x14ac:dyDescent="0.2">
      <c r="A35" s="652" t="s">
        <v>1617</v>
      </c>
      <c r="B35" s="637">
        <v>30596809.02</v>
      </c>
      <c r="C35" s="637">
        <v>35202700</v>
      </c>
      <c r="D35" s="637">
        <v>38433400</v>
      </c>
      <c r="E35" s="637">
        <v>2790662.38</v>
      </c>
      <c r="F35" s="637">
        <v>28233644.620000001</v>
      </c>
      <c r="G35" s="637">
        <v>30260294.149999999</v>
      </c>
      <c r="H35" s="637">
        <v>2026649.53</v>
      </c>
      <c r="I35" s="637">
        <v>6.6973887297787602</v>
      </c>
      <c r="J35" s="637">
        <v>38433400</v>
      </c>
    </row>
    <row r="36" spans="1:10" x14ac:dyDescent="0.2">
      <c r="A36" s="652" t="s">
        <v>1618</v>
      </c>
      <c r="B36" s="637">
        <v>1528384697.02</v>
      </c>
      <c r="C36" s="637">
        <v>1802030900</v>
      </c>
      <c r="D36" s="637">
        <v>1802030900</v>
      </c>
      <c r="E36" s="637">
        <v>127078262.69</v>
      </c>
      <c r="F36" s="637">
        <v>1485904643.9100001</v>
      </c>
      <c r="G36" s="637">
        <v>1485989212.6500001</v>
      </c>
      <c r="H36" s="637">
        <v>84568.74</v>
      </c>
      <c r="I36" s="637">
        <v>5.6910736148068396E-3</v>
      </c>
      <c r="J36" s="637">
        <v>1802030900</v>
      </c>
    </row>
    <row r="37" spans="1:10" x14ac:dyDescent="0.2">
      <c r="A37" s="652" t="s">
        <v>1619</v>
      </c>
      <c r="B37" s="637">
        <v>509706147.88</v>
      </c>
      <c r="C37" s="637">
        <v>492833600</v>
      </c>
      <c r="D37" s="637">
        <v>485980800</v>
      </c>
      <c r="E37" s="637">
        <v>26050955.010000002</v>
      </c>
      <c r="F37" s="637">
        <v>372472223.81</v>
      </c>
      <c r="G37" s="637">
        <v>362417296.41000003</v>
      </c>
      <c r="H37" s="637">
        <v>-10054927.4</v>
      </c>
      <c r="I37" s="637">
        <v>-2.7744060505944899</v>
      </c>
      <c r="J37" s="637">
        <v>485980800</v>
      </c>
    </row>
    <row r="38" spans="1:10" x14ac:dyDescent="0.2">
      <c r="A38" s="652" t="s">
        <v>1620</v>
      </c>
      <c r="B38" s="637">
        <v>9339995.7100000009</v>
      </c>
      <c r="C38" s="637">
        <v>274732500</v>
      </c>
      <c r="D38" s="637">
        <v>202711600</v>
      </c>
      <c r="E38" s="637">
        <v>11131356.539999999</v>
      </c>
      <c r="F38" s="637">
        <v>175350886.97999999</v>
      </c>
      <c r="G38" s="637">
        <v>173220952.18000001</v>
      </c>
      <c r="H38" s="637">
        <v>-2129934.7999999998</v>
      </c>
      <c r="I38" s="637">
        <v>-1.2296057568063199</v>
      </c>
      <c r="J38" s="637">
        <v>202711600</v>
      </c>
    </row>
    <row r="39" spans="1:10" x14ac:dyDescent="0.2">
      <c r="A39" s="652" t="s">
        <v>1621</v>
      </c>
      <c r="B39" s="637">
        <v>325363993.07999998</v>
      </c>
      <c r="C39" s="637">
        <v>305949500</v>
      </c>
      <c r="D39" s="637">
        <v>352759106.20999998</v>
      </c>
      <c r="E39" s="637">
        <v>28737476.43</v>
      </c>
      <c r="F39" s="637">
        <v>290740789.87</v>
      </c>
      <c r="G39" s="637">
        <v>292460851.92000002</v>
      </c>
      <c r="H39" s="637">
        <v>1720062.05</v>
      </c>
      <c r="I39" s="637">
        <v>0.58813411733837995</v>
      </c>
      <c r="J39" s="637">
        <v>352759106.20999998</v>
      </c>
    </row>
    <row r="40" spans="1:10" x14ac:dyDescent="0.2">
      <c r="A40" s="652" t="s">
        <v>1622</v>
      </c>
      <c r="B40" s="637">
        <v>158839238.19999999</v>
      </c>
      <c r="C40" s="637">
        <v>178823500</v>
      </c>
      <c r="D40" s="637">
        <v>184846100</v>
      </c>
      <c r="E40" s="637">
        <v>16903285.699999999</v>
      </c>
      <c r="F40" s="637">
        <v>161055737.38999999</v>
      </c>
      <c r="G40" s="637">
        <v>153636465.36000001</v>
      </c>
      <c r="H40" s="637">
        <v>-7419272.0300000003</v>
      </c>
      <c r="I40" s="637">
        <v>-4.8291087748050003</v>
      </c>
      <c r="J40" s="637">
        <v>184846100</v>
      </c>
    </row>
    <row r="41" spans="1:10" x14ac:dyDescent="0.2">
      <c r="A41" s="652" t="s">
        <v>1623</v>
      </c>
      <c r="B41" s="637">
        <v>603400180.32000005</v>
      </c>
      <c r="C41" s="637">
        <v>475795300</v>
      </c>
      <c r="D41" s="637">
        <v>584436100</v>
      </c>
      <c r="E41" s="637">
        <v>21607209.91</v>
      </c>
      <c r="F41" s="637">
        <v>379595194.17000002</v>
      </c>
      <c r="G41" s="637">
        <v>425606374.39999998</v>
      </c>
      <c r="H41" s="637">
        <v>46011180.229999997</v>
      </c>
      <c r="I41" s="637">
        <v>10.8107356932481</v>
      </c>
      <c r="J41" s="637">
        <v>584436100</v>
      </c>
    </row>
    <row r="42" spans="1:10" x14ac:dyDescent="0.2">
      <c r="A42" s="652" t="s">
        <v>1624</v>
      </c>
      <c r="B42" s="637">
        <v>8927436.4299999997</v>
      </c>
      <c r="C42" s="637">
        <v>7582000</v>
      </c>
      <c r="D42" s="637">
        <v>6432000</v>
      </c>
      <c r="E42" s="637">
        <v>66000</v>
      </c>
      <c r="F42" s="637">
        <v>1820462.1</v>
      </c>
      <c r="G42" s="637">
        <v>2937891.1</v>
      </c>
      <c r="H42" s="637">
        <v>1117429</v>
      </c>
      <c r="I42" s="637">
        <v>38.035072164519597</v>
      </c>
      <c r="J42" s="637">
        <v>6432000</v>
      </c>
    </row>
    <row r="43" spans="1:10" x14ac:dyDescent="0.2">
      <c r="A43" s="652" t="s">
        <v>1625</v>
      </c>
      <c r="B43" s="637">
        <v>60676046.960000001</v>
      </c>
      <c r="C43" s="637"/>
      <c r="D43" s="637">
        <v>0</v>
      </c>
      <c r="E43" s="637">
        <v>419435.92</v>
      </c>
      <c r="F43" s="637">
        <v>8082645.7400000002</v>
      </c>
      <c r="G43" s="637">
        <v>6307453.2699999996</v>
      </c>
      <c r="H43" s="637">
        <v>-1775192.47</v>
      </c>
      <c r="I43" s="637">
        <v>-28.144361821011199</v>
      </c>
      <c r="J43" s="637">
        <v>0</v>
      </c>
    </row>
    <row r="44" spans="1:10" x14ac:dyDescent="0.2">
      <c r="A44" s="652" t="s">
        <v>1626</v>
      </c>
      <c r="B44" s="637">
        <v>329400562.14999998</v>
      </c>
      <c r="C44" s="637">
        <v>389896200</v>
      </c>
      <c r="D44" s="637">
        <v>398934100.04000002</v>
      </c>
      <c r="E44" s="637">
        <v>23511665.149999999</v>
      </c>
      <c r="F44" s="637">
        <v>293128976.49000001</v>
      </c>
      <c r="G44" s="637">
        <v>307025440.69999999</v>
      </c>
      <c r="H44" s="637">
        <v>13896464.210000001</v>
      </c>
      <c r="I44" s="637">
        <v>4.5261604961194299</v>
      </c>
      <c r="J44" s="637">
        <v>398934100.04000002</v>
      </c>
    </row>
    <row r="45" spans="1:10" x14ac:dyDescent="0.2">
      <c r="A45" s="652" t="s">
        <v>1627</v>
      </c>
      <c r="B45" s="637">
        <v>131791451.58</v>
      </c>
      <c r="C45" s="637"/>
      <c r="D45" s="637"/>
      <c r="E45" s="637"/>
      <c r="F45" s="637"/>
      <c r="G45" s="637"/>
      <c r="H45" s="637"/>
      <c r="I45" s="637"/>
      <c r="J45" s="637"/>
    </row>
    <row r="46" spans="1:10" x14ac:dyDescent="0.2">
      <c r="A46" s="652" t="s">
        <v>1628</v>
      </c>
      <c r="B46" s="637">
        <v>404035947.72000003</v>
      </c>
      <c r="C46" s="637">
        <v>370004400</v>
      </c>
      <c r="D46" s="637">
        <v>370004400</v>
      </c>
      <c r="E46" s="637">
        <v>29802226.629999999</v>
      </c>
      <c r="F46" s="637">
        <v>390074396.18000001</v>
      </c>
      <c r="G46" s="637">
        <v>370554330.39999998</v>
      </c>
      <c r="H46" s="637">
        <v>-19520065.780000001</v>
      </c>
      <c r="I46" s="637">
        <v>-5.2678012854225198</v>
      </c>
      <c r="J46" s="637">
        <v>370004400</v>
      </c>
    </row>
    <row r="47" spans="1:10" x14ac:dyDescent="0.2">
      <c r="A47" s="657" t="s">
        <v>1629</v>
      </c>
      <c r="B47" s="637">
        <v>-258305938.52000001</v>
      </c>
      <c r="C47" s="637">
        <v>-219003000</v>
      </c>
      <c r="D47" s="637">
        <v>-227008100</v>
      </c>
      <c r="E47" s="637">
        <v>-21704677.170000002</v>
      </c>
      <c r="F47" s="637">
        <v>-166948039.93000001</v>
      </c>
      <c r="G47" s="637">
        <v>-173963692.47999999</v>
      </c>
      <c r="H47" s="637">
        <v>-7015652.5499999998</v>
      </c>
      <c r="I47" s="637">
        <v>-4.0328257293150802</v>
      </c>
      <c r="J47" s="637">
        <v>-227008100</v>
      </c>
    </row>
    <row r="48" spans="1:10" x14ac:dyDescent="0.2">
      <c r="A48" s="645" t="s">
        <v>1630</v>
      </c>
      <c r="B48" s="637"/>
      <c r="C48" s="637"/>
      <c r="D48" s="637"/>
      <c r="E48" s="637"/>
      <c r="F48" s="637"/>
      <c r="G48" s="637"/>
      <c r="H48" s="637"/>
      <c r="I48" s="637"/>
      <c r="J48" s="637"/>
    </row>
    <row r="49" spans="1:10" x14ac:dyDescent="0.2">
      <c r="A49" s="645" t="s">
        <v>1631</v>
      </c>
      <c r="B49" s="637"/>
      <c r="C49" s="637"/>
      <c r="D49" s="637"/>
      <c r="E49" s="637"/>
      <c r="F49" s="637"/>
      <c r="G49" s="637"/>
      <c r="H49" s="637"/>
      <c r="I49" s="637"/>
      <c r="J49" s="637"/>
    </row>
    <row r="50" spans="1:10" x14ac:dyDescent="0.2">
      <c r="A50" s="645" t="s">
        <v>1632</v>
      </c>
      <c r="B50" s="637"/>
      <c r="C50" s="637"/>
      <c r="D50" s="637"/>
      <c r="E50" s="637"/>
      <c r="F50" s="637"/>
      <c r="G50" s="637"/>
      <c r="H50" s="637"/>
      <c r="I50" s="637"/>
      <c r="J50" s="637"/>
    </row>
    <row r="51" spans="1:10" x14ac:dyDescent="0.2">
      <c r="A51" s="645" t="s">
        <v>1633</v>
      </c>
      <c r="B51" s="637"/>
      <c r="C51" s="637"/>
      <c r="D51" s="637"/>
      <c r="E51" s="637"/>
      <c r="F51" s="637"/>
      <c r="G51" s="637"/>
      <c r="H51" s="637"/>
      <c r="I51" s="637"/>
      <c r="J51" s="637"/>
    </row>
    <row r="52" spans="1:10" x14ac:dyDescent="0.2">
      <c r="A52" s="645" t="s">
        <v>1634</v>
      </c>
      <c r="B52" s="637"/>
      <c r="C52" s="637"/>
      <c r="D52" s="637"/>
      <c r="E52" s="637"/>
      <c r="F52" s="637"/>
      <c r="G52" s="637"/>
      <c r="H52" s="637"/>
      <c r="I52" s="637"/>
      <c r="J52" s="637"/>
    </row>
    <row r="53" spans="1:10" x14ac:dyDescent="0.2">
      <c r="A53" s="645" t="s">
        <v>1635</v>
      </c>
      <c r="B53" s="637"/>
      <c r="C53" s="637"/>
      <c r="D53" s="637"/>
      <c r="E53" s="637"/>
      <c r="F53" s="637"/>
      <c r="G53" s="637"/>
      <c r="H53" s="637"/>
      <c r="I53" s="637"/>
      <c r="J53" s="637"/>
    </row>
    <row r="54" spans="1:10" x14ac:dyDescent="0.2">
      <c r="A54" s="645" t="s">
        <v>1771</v>
      </c>
      <c r="B54" s="637">
        <v>141709736.63</v>
      </c>
      <c r="C54" s="637">
        <v>-924407483.89999998</v>
      </c>
      <c r="D54" s="637">
        <v>343666330.85000002</v>
      </c>
      <c r="E54" s="637">
        <v>-53795938.950000003</v>
      </c>
      <c r="F54" s="637">
        <v>452603774.38999999</v>
      </c>
      <c r="G54" s="637">
        <v>306567079.44999999</v>
      </c>
      <c r="H54" s="637">
        <v>-146036694.94</v>
      </c>
      <c r="I54" s="637">
        <v>-47.636130794604099</v>
      </c>
      <c r="J54" s="637">
        <v>343666330.85000002</v>
      </c>
    </row>
    <row r="55" spans="1:10" x14ac:dyDescent="0.2">
      <c r="A55" s="646" t="s">
        <v>1636</v>
      </c>
      <c r="B55" s="637">
        <v>-132159590.38</v>
      </c>
      <c r="C55" s="637">
        <v>1152943983.9000001</v>
      </c>
      <c r="D55" s="637">
        <v>-402535590.25999999</v>
      </c>
      <c r="E55" s="637">
        <v>59105793.030000001</v>
      </c>
      <c r="F55" s="637">
        <v>-370111072.81999999</v>
      </c>
      <c r="G55" s="637">
        <v>-265770247.83000001</v>
      </c>
      <c r="H55" s="637">
        <v>104340824.98999999</v>
      </c>
      <c r="I55" s="637">
        <v>39.259783908069998</v>
      </c>
      <c r="J55" s="637">
        <v>-402535590.25999999</v>
      </c>
    </row>
    <row r="56" spans="1:10" x14ac:dyDescent="0.2">
      <c r="A56" s="626"/>
      <c r="B56" s="637"/>
      <c r="C56" s="637"/>
      <c r="D56" s="637"/>
      <c r="E56" s="637"/>
      <c r="F56" s="637"/>
      <c r="G56" s="637"/>
      <c r="H56" s="637"/>
      <c r="I56" s="637"/>
      <c r="J56" s="637"/>
    </row>
    <row r="57" spans="1:10" x14ac:dyDescent="0.2">
      <c r="A57" s="626"/>
      <c r="B57" s="637"/>
      <c r="C57" s="637"/>
      <c r="D57" s="637"/>
      <c r="E57" s="637"/>
      <c r="F57" s="637"/>
      <c r="G57" s="637"/>
      <c r="H57" s="637"/>
      <c r="I57" s="637"/>
      <c r="J57" s="637"/>
    </row>
    <row r="58" spans="1:10" x14ac:dyDescent="0.2">
      <c r="A58" s="626"/>
      <c r="B58" s="637"/>
      <c r="C58" s="637"/>
      <c r="D58" s="637"/>
      <c r="E58" s="637"/>
      <c r="F58" s="637"/>
      <c r="G58" s="637"/>
      <c r="H58" s="637"/>
      <c r="I58" s="637"/>
      <c r="J58" s="637"/>
    </row>
    <row r="59" spans="1:10" x14ac:dyDescent="0.2">
      <c r="A59" s="626"/>
      <c r="B59" s="637"/>
      <c r="C59" s="637"/>
      <c r="D59" s="637"/>
      <c r="E59" s="637"/>
      <c r="F59" s="637"/>
      <c r="G59" s="637"/>
      <c r="H59" s="637"/>
      <c r="I59" s="637"/>
      <c r="J59" s="637"/>
    </row>
    <row r="60" spans="1:10" x14ac:dyDescent="0.2">
      <c r="A60" s="626"/>
      <c r="B60" s="637"/>
      <c r="C60" s="637"/>
      <c r="D60" s="637"/>
      <c r="E60" s="637"/>
      <c r="F60" s="637"/>
      <c r="G60" s="637"/>
      <c r="H60" s="637"/>
      <c r="I60" s="637"/>
      <c r="J60" s="637"/>
    </row>
    <row r="61" spans="1:10" x14ac:dyDescent="0.2">
      <c r="A61" s="626"/>
      <c r="B61" s="637"/>
      <c r="C61" s="637"/>
      <c r="D61" s="637"/>
      <c r="E61" s="637"/>
      <c r="F61" s="637"/>
      <c r="G61" s="637"/>
      <c r="H61" s="637"/>
      <c r="I61" s="637"/>
      <c r="J61" s="637"/>
    </row>
    <row r="62" spans="1:10" x14ac:dyDescent="0.2">
      <c r="A62" s="626"/>
      <c r="B62" s="637"/>
      <c r="C62" s="637"/>
      <c r="D62" s="637"/>
      <c r="E62" s="637"/>
      <c r="F62" s="637"/>
      <c r="G62" s="637"/>
      <c r="H62" s="637"/>
      <c r="I62" s="637"/>
      <c r="J62" s="637"/>
    </row>
    <row r="63" spans="1:10" x14ac:dyDescent="0.2">
      <c r="A63" s="626"/>
      <c r="B63" s="637"/>
      <c r="C63" s="637"/>
      <c r="D63" s="637"/>
      <c r="E63" s="637"/>
      <c r="F63" s="637"/>
      <c r="G63" s="637"/>
      <c r="H63" s="637"/>
      <c r="I63" s="637"/>
      <c r="J63" s="637"/>
    </row>
    <row r="64" spans="1:10" x14ac:dyDescent="0.2">
      <c r="A64" s="626"/>
      <c r="B64" s="637"/>
      <c r="C64" s="637"/>
      <c r="D64" s="637"/>
      <c r="E64" s="637"/>
      <c r="F64" s="637"/>
      <c r="G64" s="637"/>
      <c r="H64" s="637"/>
      <c r="I64" s="637"/>
      <c r="J64" s="637"/>
    </row>
    <row r="65" spans="1:10" x14ac:dyDescent="0.2">
      <c r="A65" s="626"/>
      <c r="B65" s="637"/>
      <c r="C65" s="637"/>
      <c r="D65" s="637"/>
      <c r="E65" s="637"/>
      <c r="F65" s="637"/>
      <c r="G65" s="637"/>
      <c r="H65" s="637"/>
      <c r="I65" s="637"/>
      <c r="J65" s="637"/>
    </row>
    <row r="66" spans="1:10" x14ac:dyDescent="0.2">
      <c r="A66" s="626"/>
      <c r="B66" s="637"/>
      <c r="C66" s="637"/>
      <c r="D66" s="637"/>
      <c r="E66" s="637"/>
      <c r="F66" s="637"/>
      <c r="G66" s="637"/>
      <c r="H66" s="637"/>
      <c r="I66" s="637"/>
      <c r="J66" s="637"/>
    </row>
    <row r="67" spans="1:10" x14ac:dyDescent="0.2">
      <c r="A67" s="626"/>
      <c r="B67" s="637"/>
      <c r="C67" s="637"/>
      <c r="D67" s="637"/>
      <c r="E67" s="637"/>
      <c r="F67" s="637"/>
      <c r="G67" s="637"/>
      <c r="H67" s="637"/>
      <c r="I67" s="637"/>
      <c r="J67" s="637"/>
    </row>
    <row r="68" spans="1:10" x14ac:dyDescent="0.2">
      <c r="A68" s="626"/>
      <c r="B68" s="637"/>
      <c r="C68" s="637"/>
      <c r="D68" s="637"/>
      <c r="E68" s="637"/>
      <c r="F68" s="637"/>
      <c r="G68" s="637"/>
      <c r="H68" s="637"/>
      <c r="I68" s="637"/>
      <c r="J68" s="637"/>
    </row>
    <row r="69" spans="1:10" x14ac:dyDescent="0.2">
      <c r="A69" s="626"/>
      <c r="B69" s="637"/>
      <c r="C69" s="637"/>
      <c r="D69" s="637"/>
      <c r="E69" s="637"/>
      <c r="F69" s="637"/>
      <c r="G69" s="637"/>
      <c r="H69" s="637"/>
      <c r="I69" s="637"/>
      <c r="J69" s="637"/>
    </row>
    <row r="70" spans="1:10" x14ac:dyDescent="0.2">
      <c r="A70" s="626"/>
      <c r="B70" s="637"/>
      <c r="C70" s="637"/>
      <c r="D70" s="637"/>
      <c r="E70" s="637"/>
      <c r="F70" s="637"/>
      <c r="G70" s="637"/>
      <c r="H70" s="637"/>
      <c r="I70" s="637"/>
      <c r="J70" s="637"/>
    </row>
    <row r="71" spans="1:10" x14ac:dyDescent="0.2">
      <c r="A71" s="626"/>
      <c r="B71" s="637"/>
      <c r="C71" s="637"/>
      <c r="D71" s="637"/>
      <c r="E71" s="637"/>
      <c r="F71" s="637"/>
      <c r="G71" s="637"/>
      <c r="H71" s="637"/>
      <c r="I71" s="637"/>
      <c r="J71" s="637"/>
    </row>
    <row r="72" spans="1:10" x14ac:dyDescent="0.2">
      <c r="A72" s="626"/>
      <c r="B72" s="637"/>
      <c r="C72" s="637"/>
      <c r="D72" s="637"/>
      <c r="E72" s="637"/>
      <c r="F72" s="637"/>
      <c r="G72" s="637"/>
      <c r="H72" s="637"/>
      <c r="I72" s="637"/>
      <c r="J72" s="637"/>
    </row>
    <row r="73" spans="1:10" x14ac:dyDescent="0.2">
      <c r="A73" s="626"/>
      <c r="B73" s="637"/>
      <c r="C73" s="637"/>
      <c r="D73" s="637"/>
      <c r="E73" s="637"/>
      <c r="F73" s="637"/>
      <c r="G73" s="637"/>
      <c r="H73" s="637"/>
      <c r="I73" s="637"/>
      <c r="J73" s="637"/>
    </row>
    <row r="74" spans="1:10" x14ac:dyDescent="0.2">
      <c r="A74" s="626"/>
      <c r="B74" s="637"/>
      <c r="C74" s="637"/>
      <c r="D74" s="637"/>
      <c r="E74" s="637"/>
      <c r="F74" s="637"/>
      <c r="G74" s="637"/>
      <c r="H74" s="637"/>
      <c r="I74" s="637"/>
      <c r="J74" s="637"/>
    </row>
    <row r="75" spans="1:10" x14ac:dyDescent="0.2">
      <c r="A75" s="626"/>
      <c r="B75" s="637"/>
      <c r="C75" s="637"/>
      <c r="D75" s="637"/>
      <c r="E75" s="637"/>
      <c r="F75" s="637"/>
      <c r="G75" s="637"/>
      <c r="H75" s="637"/>
      <c r="I75" s="637"/>
      <c r="J75" s="637"/>
    </row>
    <row r="76" spans="1:10" x14ac:dyDescent="0.2">
      <c r="A76" s="626"/>
      <c r="B76" s="637"/>
      <c r="C76" s="637"/>
      <c r="D76" s="637"/>
      <c r="E76" s="637"/>
      <c r="F76" s="637"/>
      <c r="G76" s="637"/>
      <c r="H76" s="637"/>
      <c r="I76" s="637"/>
      <c r="J76" s="637"/>
    </row>
    <row r="77" spans="1:10" x14ac:dyDescent="0.2">
      <c r="A77" s="626"/>
      <c r="B77" s="637"/>
      <c r="C77" s="637"/>
      <c r="D77" s="637"/>
      <c r="E77" s="637"/>
      <c r="F77" s="637"/>
      <c r="G77" s="637"/>
      <c r="H77" s="637"/>
      <c r="I77" s="637"/>
      <c r="J77" s="637"/>
    </row>
    <row r="78" spans="1:10" x14ac:dyDescent="0.2">
      <c r="A78" s="626"/>
      <c r="B78" s="637"/>
      <c r="C78" s="637"/>
      <c r="D78" s="637"/>
      <c r="E78" s="637"/>
      <c r="F78" s="637"/>
      <c r="G78" s="637"/>
      <c r="H78" s="637"/>
      <c r="I78" s="637"/>
      <c r="J78" s="637"/>
    </row>
    <row r="79" spans="1:10" x14ac:dyDescent="0.2">
      <c r="A79" s="626"/>
      <c r="B79" s="637"/>
      <c r="C79" s="637"/>
      <c r="D79" s="637"/>
      <c r="E79" s="637"/>
      <c r="F79" s="637"/>
      <c r="G79" s="637"/>
      <c r="H79" s="637"/>
      <c r="I79" s="637"/>
      <c r="J79" s="637"/>
    </row>
    <row r="80" spans="1:10" x14ac:dyDescent="0.2">
      <c r="A80" s="626"/>
      <c r="B80" s="637"/>
      <c r="C80" s="637"/>
      <c r="D80" s="637"/>
      <c r="E80" s="637"/>
      <c r="F80" s="637"/>
      <c r="G80" s="637"/>
      <c r="H80" s="637"/>
      <c r="I80" s="637"/>
      <c r="J80" s="637"/>
    </row>
    <row r="81" spans="1:10" x14ac:dyDescent="0.2">
      <c r="A81" s="626"/>
      <c r="B81" s="637"/>
      <c r="C81" s="637"/>
      <c r="D81" s="637"/>
      <c r="E81" s="637"/>
      <c r="F81" s="637"/>
      <c r="G81" s="637"/>
      <c r="H81" s="637"/>
      <c r="I81" s="637"/>
      <c r="J81" s="637"/>
    </row>
    <row r="82" spans="1:10" x14ac:dyDescent="0.2">
      <c r="A82" s="626"/>
      <c r="B82" s="637"/>
      <c r="C82" s="637"/>
      <c r="D82" s="637"/>
      <c r="E82" s="637"/>
      <c r="F82" s="637"/>
      <c r="G82" s="637"/>
      <c r="H82" s="637"/>
      <c r="I82" s="637"/>
      <c r="J82" s="637"/>
    </row>
    <row r="83" spans="1:10" x14ac:dyDescent="0.2">
      <c r="A83" s="626"/>
      <c r="B83" s="637"/>
      <c r="C83" s="637"/>
      <c r="D83" s="637"/>
      <c r="E83" s="637"/>
      <c r="F83" s="637"/>
      <c r="G83" s="637"/>
      <c r="H83" s="637"/>
      <c r="I83" s="637"/>
      <c r="J83" s="637"/>
    </row>
    <row r="84" spans="1:10" x14ac:dyDescent="0.2">
      <c r="A84" s="626"/>
      <c r="B84" s="637"/>
      <c r="C84" s="637"/>
      <c r="D84" s="637"/>
      <c r="E84" s="637"/>
      <c r="F84" s="637"/>
      <c r="G84" s="637"/>
      <c r="H84" s="637"/>
      <c r="I84" s="637"/>
      <c r="J84" s="637"/>
    </row>
    <row r="85" spans="1:10" x14ac:dyDescent="0.2">
      <c r="A85" s="626"/>
      <c r="B85" s="637"/>
      <c r="C85" s="637"/>
      <c r="D85" s="637"/>
      <c r="E85" s="637"/>
      <c r="F85" s="637"/>
      <c r="G85" s="637"/>
      <c r="H85" s="637"/>
      <c r="I85" s="637"/>
      <c r="J85" s="637"/>
    </row>
    <row r="86" spans="1:10" x14ac:dyDescent="0.2">
      <c r="A86" s="626"/>
      <c r="B86" s="637"/>
      <c r="C86" s="637"/>
      <c r="D86" s="637"/>
      <c r="E86" s="637"/>
      <c r="F86" s="637"/>
      <c r="G86" s="637"/>
      <c r="H86" s="637"/>
      <c r="I86" s="637"/>
      <c r="J86" s="637"/>
    </row>
    <row r="87" spans="1:10" x14ac:dyDescent="0.2">
      <c r="A87" s="626"/>
      <c r="B87" s="637"/>
      <c r="C87" s="637"/>
      <c r="D87" s="637"/>
      <c r="E87" s="637"/>
      <c r="F87" s="637"/>
      <c r="G87" s="637"/>
      <c r="H87" s="637"/>
      <c r="I87" s="637"/>
      <c r="J87" s="637"/>
    </row>
    <row r="88" spans="1:10" x14ac:dyDescent="0.2">
      <c r="A88" s="626"/>
      <c r="B88" s="637"/>
      <c r="C88" s="637"/>
      <c r="D88" s="637"/>
      <c r="E88" s="637"/>
      <c r="F88" s="637"/>
      <c r="G88" s="637"/>
      <c r="H88" s="637"/>
      <c r="I88" s="637"/>
      <c r="J88" s="637"/>
    </row>
    <row r="89" spans="1:10" x14ac:dyDescent="0.2">
      <c r="A89" s="626"/>
      <c r="B89" s="637"/>
      <c r="C89" s="637"/>
      <c r="D89" s="637"/>
      <c r="E89" s="637"/>
      <c r="F89" s="637"/>
      <c r="G89" s="637"/>
      <c r="H89" s="637"/>
      <c r="I89" s="637"/>
      <c r="J89" s="637"/>
    </row>
    <row r="90" spans="1:10" x14ac:dyDescent="0.2">
      <c r="A90" s="626"/>
      <c r="B90" s="637"/>
      <c r="C90" s="637"/>
      <c r="D90" s="637"/>
      <c r="E90" s="637"/>
      <c r="F90" s="637"/>
      <c r="G90" s="637"/>
      <c r="H90" s="637"/>
      <c r="I90" s="637"/>
      <c r="J90" s="637"/>
    </row>
    <row r="91" spans="1:10" x14ac:dyDescent="0.2">
      <c r="A91" s="626"/>
      <c r="B91" s="637"/>
      <c r="C91" s="637"/>
      <c r="D91" s="637"/>
      <c r="E91" s="637"/>
      <c r="F91" s="637"/>
      <c r="G91" s="637"/>
      <c r="H91" s="637"/>
      <c r="I91" s="637"/>
      <c r="J91" s="637"/>
    </row>
    <row r="92" spans="1:10" x14ac:dyDescent="0.2">
      <c r="A92" s="626"/>
      <c r="B92" s="637"/>
      <c r="C92" s="637"/>
      <c r="D92" s="637"/>
      <c r="E92" s="637"/>
      <c r="F92" s="637"/>
      <c r="G92" s="637"/>
      <c r="H92" s="637"/>
      <c r="I92" s="637"/>
      <c r="J92" s="637"/>
    </row>
    <row r="93" spans="1:10" x14ac:dyDescent="0.2">
      <c r="A93" s="626"/>
      <c r="B93" s="637"/>
      <c r="C93" s="637"/>
      <c r="D93" s="637"/>
      <c r="E93" s="637"/>
      <c r="F93" s="637"/>
      <c r="G93" s="637"/>
      <c r="H93" s="637"/>
      <c r="I93" s="637"/>
      <c r="J93" s="637"/>
    </row>
    <row r="94" spans="1:10" x14ac:dyDescent="0.2">
      <c r="A94" s="626"/>
      <c r="B94" s="637"/>
      <c r="C94" s="637"/>
      <c r="D94" s="637"/>
      <c r="E94" s="637"/>
      <c r="F94" s="637"/>
      <c r="G94" s="637"/>
      <c r="H94" s="637"/>
      <c r="I94" s="637"/>
      <c r="J94" s="637"/>
    </row>
    <row r="95" spans="1:10" x14ac:dyDescent="0.2">
      <c r="A95" s="626"/>
      <c r="B95" s="637"/>
      <c r="C95" s="637"/>
      <c r="D95" s="637"/>
      <c r="E95" s="637"/>
      <c r="F95" s="637"/>
      <c r="G95" s="637"/>
      <c r="H95" s="637"/>
      <c r="I95" s="637"/>
      <c r="J95" s="637"/>
    </row>
    <row r="96" spans="1:10" x14ac:dyDescent="0.2">
      <c r="A96" s="626"/>
      <c r="B96" s="637"/>
      <c r="C96" s="637"/>
      <c r="D96" s="637"/>
      <c r="E96" s="637"/>
      <c r="F96" s="637"/>
      <c r="G96" s="637"/>
      <c r="H96" s="637"/>
      <c r="I96" s="637"/>
      <c r="J96" s="637"/>
    </row>
    <row r="97" spans="1:10" x14ac:dyDescent="0.2">
      <c r="A97" s="626"/>
      <c r="B97" s="637"/>
      <c r="C97" s="637"/>
      <c r="D97" s="637"/>
      <c r="E97" s="637"/>
      <c r="F97" s="637"/>
      <c r="G97" s="637"/>
      <c r="H97" s="637"/>
      <c r="I97" s="637"/>
      <c r="J97" s="637"/>
    </row>
    <row r="98" spans="1:10" x14ac:dyDescent="0.2">
      <c r="A98" s="626"/>
      <c r="B98" s="637"/>
      <c r="C98" s="637"/>
      <c r="D98" s="637"/>
      <c r="E98" s="637"/>
      <c r="F98" s="637"/>
      <c r="G98" s="637"/>
      <c r="H98" s="637"/>
      <c r="I98" s="637"/>
      <c r="J98" s="637"/>
    </row>
    <row r="99" spans="1:10" x14ac:dyDescent="0.2">
      <c r="A99" s="626"/>
      <c r="B99" s="637"/>
      <c r="C99" s="637"/>
      <c r="D99" s="637"/>
      <c r="E99" s="637"/>
      <c r="F99" s="637"/>
      <c r="G99" s="637"/>
      <c r="H99" s="637"/>
      <c r="I99" s="637"/>
      <c r="J99" s="637"/>
    </row>
    <row r="100" spans="1:10" x14ac:dyDescent="0.2">
      <c r="A100" s="626"/>
      <c r="B100" s="637"/>
      <c r="C100" s="637"/>
      <c r="D100" s="637"/>
      <c r="E100" s="637"/>
      <c r="F100" s="637"/>
      <c r="G100" s="637"/>
      <c r="H100" s="637"/>
      <c r="I100" s="637"/>
      <c r="J100" s="637"/>
    </row>
    <row r="101" spans="1:10" x14ac:dyDescent="0.2">
      <c r="A101" s="626"/>
      <c r="B101" s="637"/>
      <c r="C101" s="637"/>
      <c r="D101" s="637"/>
      <c r="E101" s="637"/>
      <c r="F101" s="637"/>
      <c r="G101" s="637"/>
      <c r="H101" s="637"/>
      <c r="I101" s="637"/>
      <c r="J101" s="637"/>
    </row>
    <row r="102" spans="1:10" x14ac:dyDescent="0.2">
      <c r="A102" s="626"/>
      <c r="B102" s="637"/>
      <c r="C102" s="637"/>
      <c r="D102" s="637"/>
      <c r="E102" s="637"/>
      <c r="F102" s="637"/>
      <c r="G102" s="637"/>
      <c r="H102" s="637"/>
      <c r="I102" s="637"/>
      <c r="J102" s="637"/>
    </row>
    <row r="103" spans="1:10" x14ac:dyDescent="0.2">
      <c r="A103" s="626"/>
      <c r="B103" s="637"/>
      <c r="C103" s="637"/>
      <c r="D103" s="637"/>
      <c r="E103" s="637"/>
      <c r="F103" s="637"/>
      <c r="G103" s="637"/>
      <c r="H103" s="637"/>
      <c r="I103" s="637"/>
      <c r="J103" s="637"/>
    </row>
    <row r="104" spans="1:10" x14ac:dyDescent="0.2">
      <c r="A104" s="626"/>
      <c r="B104" s="637"/>
      <c r="C104" s="637"/>
      <c r="D104" s="637"/>
      <c r="E104" s="637"/>
      <c r="F104" s="637"/>
      <c r="G104" s="637"/>
      <c r="H104" s="637"/>
      <c r="I104" s="637"/>
      <c r="J104" s="637"/>
    </row>
    <row r="105" spans="1:10" x14ac:dyDescent="0.2">
      <c r="A105" s="626"/>
      <c r="B105" s="637"/>
      <c r="C105" s="637"/>
      <c r="D105" s="637"/>
      <c r="E105" s="637"/>
      <c r="F105" s="637"/>
      <c r="G105" s="637"/>
      <c r="H105" s="637"/>
      <c r="I105" s="637"/>
      <c r="J105" s="637"/>
    </row>
    <row r="106" spans="1:10" x14ac:dyDescent="0.2">
      <c r="A106" s="626"/>
      <c r="B106" s="637"/>
      <c r="C106" s="637"/>
      <c r="D106" s="637"/>
      <c r="E106" s="637"/>
      <c r="F106" s="637"/>
      <c r="G106" s="637"/>
      <c r="H106" s="637"/>
      <c r="I106" s="637"/>
      <c r="J106" s="637"/>
    </row>
    <row r="107" spans="1:10" x14ac:dyDescent="0.2">
      <c r="A107" s="626"/>
      <c r="B107" s="637"/>
      <c r="C107" s="637"/>
      <c r="D107" s="637"/>
      <c r="E107" s="637"/>
      <c r="F107" s="637"/>
      <c r="G107" s="637"/>
      <c r="H107" s="637"/>
      <c r="I107" s="637"/>
      <c r="J107" s="637"/>
    </row>
    <row r="108" spans="1:10" x14ac:dyDescent="0.2">
      <c r="A108" s="626"/>
      <c r="B108" s="637"/>
      <c r="C108" s="637"/>
      <c r="D108" s="637"/>
      <c r="E108" s="637"/>
      <c r="F108" s="637"/>
      <c r="G108" s="637"/>
      <c r="H108" s="637"/>
      <c r="I108" s="637"/>
      <c r="J108" s="637"/>
    </row>
    <row r="109" spans="1:10" x14ac:dyDescent="0.2">
      <c r="A109" s="626"/>
      <c r="B109" s="637"/>
      <c r="C109" s="637"/>
      <c r="D109" s="637"/>
      <c r="E109" s="637"/>
      <c r="F109" s="637"/>
      <c r="G109" s="637"/>
      <c r="H109" s="637"/>
      <c r="I109" s="637"/>
      <c r="J109" s="637"/>
    </row>
    <row r="110" spans="1:10" x14ac:dyDescent="0.2">
      <c r="A110" s="626"/>
      <c r="B110" s="637"/>
      <c r="C110" s="637"/>
      <c r="D110" s="637"/>
      <c r="E110" s="637"/>
      <c r="F110" s="637"/>
      <c r="G110" s="637"/>
      <c r="H110" s="637"/>
      <c r="I110" s="637"/>
      <c r="J110" s="637"/>
    </row>
    <row r="111" spans="1:10" x14ac:dyDescent="0.2">
      <c r="A111" s="626"/>
      <c r="B111" s="637"/>
      <c r="C111" s="637"/>
      <c r="D111" s="637"/>
      <c r="E111" s="637"/>
      <c r="F111" s="637"/>
      <c r="G111" s="637"/>
      <c r="H111" s="637"/>
      <c r="I111" s="637"/>
      <c r="J111" s="637"/>
    </row>
    <row r="112" spans="1:10" x14ac:dyDescent="0.2">
      <c r="A112" s="626"/>
      <c r="B112" s="637"/>
      <c r="C112" s="637"/>
      <c r="D112" s="637"/>
      <c r="E112" s="637"/>
      <c r="F112" s="637"/>
      <c r="G112" s="637"/>
      <c r="H112" s="637"/>
      <c r="I112" s="637"/>
      <c r="J112" s="637"/>
    </row>
    <row r="113" spans="1:10" x14ac:dyDescent="0.2">
      <c r="A113" s="626"/>
      <c r="B113" s="637"/>
      <c r="C113" s="637"/>
      <c r="D113" s="637"/>
      <c r="E113" s="637"/>
      <c r="F113" s="637"/>
      <c r="G113" s="637"/>
      <c r="H113" s="637"/>
      <c r="I113" s="637"/>
      <c r="J113" s="637"/>
    </row>
    <row r="114" spans="1:10" x14ac:dyDescent="0.2">
      <c r="A114" s="626"/>
      <c r="B114" s="637"/>
      <c r="C114" s="637"/>
      <c r="D114" s="637"/>
      <c r="E114" s="637"/>
      <c r="F114" s="637"/>
      <c r="G114" s="637"/>
      <c r="H114" s="637"/>
      <c r="I114" s="637"/>
      <c r="J114" s="637"/>
    </row>
    <row r="115" spans="1:10" x14ac:dyDescent="0.2">
      <c r="A115" s="626"/>
      <c r="B115" s="637"/>
      <c r="C115" s="637"/>
      <c r="D115" s="637"/>
      <c r="E115" s="637"/>
      <c r="F115" s="637"/>
      <c r="G115" s="637"/>
      <c r="H115" s="637"/>
      <c r="I115" s="637"/>
      <c r="J115" s="637"/>
    </row>
    <row r="116" spans="1:10" x14ac:dyDescent="0.2">
      <c r="A116" s="626"/>
      <c r="B116" s="637"/>
      <c r="C116" s="637"/>
      <c r="D116" s="637"/>
      <c r="E116" s="637"/>
      <c r="F116" s="637"/>
      <c r="G116" s="637"/>
      <c r="H116" s="637"/>
      <c r="I116" s="637"/>
      <c r="J116" s="637"/>
    </row>
    <row r="117" spans="1:10" x14ac:dyDescent="0.2">
      <c r="A117" s="626"/>
      <c r="B117" s="637"/>
      <c r="C117" s="637"/>
      <c r="D117" s="637"/>
      <c r="E117" s="637"/>
      <c r="F117" s="637"/>
      <c r="G117" s="637"/>
      <c r="H117" s="637"/>
      <c r="I117" s="637"/>
      <c r="J117" s="637"/>
    </row>
    <row r="118" spans="1:10" x14ac:dyDescent="0.2">
      <c r="A118" s="626"/>
      <c r="B118" s="637"/>
      <c r="C118" s="637"/>
      <c r="D118" s="637"/>
      <c r="E118" s="637"/>
      <c r="F118" s="637"/>
      <c r="G118" s="637"/>
      <c r="H118" s="637"/>
      <c r="I118" s="637"/>
      <c r="J118" s="637"/>
    </row>
    <row r="119" spans="1:10" x14ac:dyDescent="0.2">
      <c r="A119" s="626"/>
      <c r="B119" s="637"/>
      <c r="C119" s="637"/>
      <c r="D119" s="637"/>
      <c r="E119" s="637"/>
      <c r="F119" s="637"/>
      <c r="G119" s="637"/>
      <c r="H119" s="637"/>
      <c r="I119" s="637"/>
      <c r="J119" s="637"/>
    </row>
    <row r="120" spans="1:10" x14ac:dyDescent="0.2">
      <c r="A120" s="626"/>
      <c r="B120" s="637"/>
      <c r="C120" s="637"/>
      <c r="D120" s="637"/>
      <c r="E120" s="637"/>
      <c r="F120" s="637"/>
      <c r="G120" s="637"/>
      <c r="H120" s="637"/>
      <c r="I120" s="637"/>
      <c r="J120" s="637"/>
    </row>
    <row r="121" spans="1:10" x14ac:dyDescent="0.2">
      <c r="A121" s="626"/>
      <c r="B121" s="637"/>
      <c r="C121" s="637"/>
      <c r="D121" s="637"/>
      <c r="E121" s="637"/>
      <c r="F121" s="637"/>
      <c r="G121" s="637"/>
      <c r="H121" s="637"/>
      <c r="I121" s="637"/>
      <c r="J121" s="637"/>
    </row>
    <row r="122" spans="1:10" x14ac:dyDescent="0.2">
      <c r="A122" s="626"/>
      <c r="B122" s="637"/>
      <c r="C122" s="637"/>
      <c r="D122" s="637"/>
      <c r="E122" s="637"/>
      <c r="F122" s="637"/>
      <c r="G122" s="637"/>
      <c r="H122" s="637"/>
      <c r="I122" s="637"/>
      <c r="J122" s="637"/>
    </row>
    <row r="123" spans="1:10" x14ac:dyDescent="0.2">
      <c r="A123" s="626"/>
      <c r="B123" s="637"/>
      <c r="C123" s="637"/>
      <c r="D123" s="637"/>
      <c r="E123" s="637"/>
      <c r="F123" s="637"/>
      <c r="G123" s="637"/>
      <c r="H123" s="637"/>
      <c r="I123" s="637"/>
      <c r="J123" s="637"/>
    </row>
    <row r="124" spans="1:10" x14ac:dyDescent="0.2">
      <c r="A124" s="626"/>
      <c r="B124" s="637"/>
      <c r="C124" s="637"/>
      <c r="D124" s="637"/>
      <c r="E124" s="637"/>
      <c r="F124" s="637"/>
      <c r="G124" s="637"/>
      <c r="H124" s="637"/>
      <c r="I124" s="637"/>
      <c r="J124" s="637"/>
    </row>
    <row r="125" spans="1:10" x14ac:dyDescent="0.2">
      <c r="A125" s="626"/>
      <c r="B125" s="637"/>
      <c r="C125" s="637"/>
      <c r="D125" s="637"/>
      <c r="E125" s="637"/>
      <c r="F125" s="637"/>
      <c r="G125" s="637"/>
      <c r="H125" s="637"/>
      <c r="I125" s="637"/>
      <c r="J125" s="637"/>
    </row>
    <row r="126" spans="1:10" x14ac:dyDescent="0.2">
      <c r="A126" s="626"/>
      <c r="B126" s="637"/>
      <c r="C126" s="637"/>
      <c r="D126" s="637"/>
      <c r="E126" s="637"/>
      <c r="F126" s="637"/>
      <c r="G126" s="637"/>
      <c r="H126" s="637"/>
      <c r="I126" s="637"/>
      <c r="J126" s="637"/>
    </row>
    <row r="127" spans="1:10" x14ac:dyDescent="0.2">
      <c r="A127" s="626"/>
      <c r="B127" s="637"/>
      <c r="C127" s="637"/>
      <c r="D127" s="637"/>
      <c r="E127" s="637"/>
      <c r="F127" s="637"/>
      <c r="G127" s="637"/>
      <c r="H127" s="637"/>
      <c r="I127" s="637"/>
      <c r="J127" s="637"/>
    </row>
    <row r="128" spans="1:10" x14ac:dyDescent="0.2">
      <c r="A128" s="626"/>
      <c r="B128" s="637"/>
      <c r="C128" s="637"/>
      <c r="D128" s="637"/>
      <c r="E128" s="637"/>
      <c r="F128" s="637"/>
      <c r="G128" s="637"/>
      <c r="H128" s="637"/>
      <c r="I128" s="637"/>
      <c r="J128" s="637"/>
    </row>
    <row r="129" spans="1:10" x14ac:dyDescent="0.2">
      <c r="A129" s="626"/>
      <c r="B129" s="637"/>
      <c r="C129" s="637"/>
      <c r="D129" s="637"/>
      <c r="E129" s="637"/>
      <c r="F129" s="637"/>
      <c r="G129" s="637"/>
      <c r="H129" s="637"/>
      <c r="I129" s="637"/>
      <c r="J129" s="637"/>
    </row>
    <row r="130" spans="1:10" x14ac:dyDescent="0.2">
      <c r="A130" s="626"/>
      <c r="B130" s="637"/>
      <c r="C130" s="637"/>
      <c r="D130" s="637"/>
      <c r="E130" s="637"/>
      <c r="F130" s="637"/>
      <c r="G130" s="637"/>
      <c r="H130" s="637"/>
      <c r="I130" s="637"/>
      <c r="J130" s="637"/>
    </row>
    <row r="131" spans="1:10" x14ac:dyDescent="0.2">
      <c r="A131" s="626"/>
      <c r="B131" s="637"/>
      <c r="C131" s="637"/>
      <c r="D131" s="637"/>
      <c r="E131" s="637"/>
      <c r="F131" s="637"/>
      <c r="G131" s="637"/>
      <c r="H131" s="637"/>
      <c r="I131" s="637"/>
      <c r="J131" s="637"/>
    </row>
    <row r="132" spans="1:10" x14ac:dyDescent="0.2">
      <c r="A132" s="626"/>
      <c r="B132" s="637"/>
      <c r="C132" s="637"/>
      <c r="D132" s="637"/>
      <c r="E132" s="637"/>
      <c r="F132" s="637"/>
      <c r="G132" s="637"/>
      <c r="H132" s="637"/>
      <c r="I132" s="637"/>
      <c r="J132" s="637"/>
    </row>
    <row r="133" spans="1:10" x14ac:dyDescent="0.2">
      <c r="A133" s="626"/>
      <c r="B133" s="637"/>
      <c r="C133" s="637"/>
      <c r="D133" s="637"/>
      <c r="E133" s="637"/>
      <c r="F133" s="637"/>
      <c r="G133" s="637"/>
      <c r="H133" s="637"/>
      <c r="I133" s="637"/>
      <c r="J133" s="637"/>
    </row>
    <row r="134" spans="1:10" x14ac:dyDescent="0.2">
      <c r="A134" s="626"/>
      <c r="B134" s="637"/>
      <c r="C134" s="637"/>
      <c r="D134" s="637"/>
      <c r="E134" s="637"/>
      <c r="F134" s="637"/>
      <c r="G134" s="637"/>
      <c r="H134" s="637"/>
      <c r="I134" s="637"/>
      <c r="J134" s="637"/>
    </row>
    <row r="135" spans="1:10" x14ac:dyDescent="0.2">
      <c r="A135" s="626"/>
      <c r="B135" s="637"/>
      <c r="C135" s="637"/>
      <c r="D135" s="637"/>
      <c r="E135" s="637"/>
      <c r="F135" s="637"/>
      <c r="G135" s="637"/>
      <c r="H135" s="637"/>
      <c r="I135" s="637"/>
      <c r="J135" s="637"/>
    </row>
    <row r="136" spans="1:10" x14ac:dyDescent="0.2">
      <c r="A136" s="626"/>
      <c r="B136" s="637"/>
      <c r="C136" s="637"/>
      <c r="D136" s="637"/>
      <c r="E136" s="637"/>
      <c r="F136" s="637"/>
      <c r="G136" s="637"/>
      <c r="H136" s="637"/>
      <c r="I136" s="637"/>
      <c r="J136" s="637"/>
    </row>
    <row r="137" spans="1:10" x14ac:dyDescent="0.2">
      <c r="A137" s="626"/>
      <c r="B137" s="637"/>
      <c r="C137" s="637"/>
      <c r="D137" s="637"/>
      <c r="E137" s="637"/>
      <c r="F137" s="637"/>
      <c r="G137" s="637"/>
      <c r="H137" s="637"/>
      <c r="I137" s="637"/>
      <c r="J137" s="637"/>
    </row>
    <row r="138" spans="1:10" x14ac:dyDescent="0.2">
      <c r="A138" s="626"/>
      <c r="B138" s="637"/>
      <c r="C138" s="637"/>
      <c r="D138" s="637"/>
      <c r="E138" s="637"/>
      <c r="F138" s="637"/>
      <c r="G138" s="637"/>
      <c r="H138" s="637"/>
      <c r="I138" s="637"/>
      <c r="J138" s="637"/>
    </row>
    <row r="139" spans="1:10" x14ac:dyDescent="0.2">
      <c r="A139" s="626"/>
      <c r="B139" s="637"/>
      <c r="C139" s="637"/>
      <c r="D139" s="637"/>
      <c r="E139" s="637"/>
      <c r="F139" s="637"/>
      <c r="G139" s="637"/>
      <c r="H139" s="637"/>
      <c r="I139" s="637"/>
      <c r="J139" s="637"/>
    </row>
    <row r="140" spans="1:10" x14ac:dyDescent="0.2">
      <c r="A140" s="626"/>
      <c r="B140" s="637"/>
      <c r="C140" s="637"/>
      <c r="D140" s="637"/>
      <c r="E140" s="637"/>
      <c r="F140" s="637"/>
      <c r="G140" s="637"/>
      <c r="H140" s="637"/>
      <c r="I140" s="637"/>
      <c r="J140" s="637"/>
    </row>
    <row r="141" spans="1:10" x14ac:dyDescent="0.2">
      <c r="A141" s="626"/>
      <c r="B141" s="637"/>
      <c r="C141" s="637"/>
      <c r="D141" s="637"/>
      <c r="E141" s="637"/>
      <c r="F141" s="637"/>
      <c r="G141" s="637"/>
      <c r="H141" s="637"/>
      <c r="I141" s="637"/>
      <c r="J141" s="637"/>
    </row>
    <row r="142" spans="1:10" x14ac:dyDescent="0.2">
      <c r="A142" s="626"/>
      <c r="B142" s="637"/>
      <c r="C142" s="637"/>
      <c r="D142" s="637"/>
      <c r="E142" s="637"/>
      <c r="F142" s="637"/>
      <c r="G142" s="637"/>
      <c r="H142" s="637"/>
      <c r="I142" s="637"/>
      <c r="J142" s="637"/>
    </row>
    <row r="143" spans="1:10" x14ac:dyDescent="0.2">
      <c r="A143" s="626"/>
      <c r="B143" s="637"/>
      <c r="C143" s="637"/>
      <c r="D143" s="637"/>
      <c r="E143" s="637"/>
      <c r="F143" s="637"/>
      <c r="G143" s="637"/>
      <c r="H143" s="637"/>
      <c r="I143" s="637"/>
      <c r="J143" s="637"/>
    </row>
    <row r="144" spans="1:10" x14ac:dyDescent="0.2">
      <c r="A144" s="626"/>
      <c r="B144" s="637"/>
      <c r="C144" s="637"/>
      <c r="D144" s="637"/>
      <c r="E144" s="637"/>
      <c r="F144" s="637"/>
      <c r="G144" s="637"/>
      <c r="H144" s="637"/>
      <c r="I144" s="637"/>
      <c r="J144" s="637"/>
    </row>
    <row r="145" spans="1:10" x14ac:dyDescent="0.2">
      <c r="A145" s="626"/>
      <c r="B145" s="637"/>
      <c r="C145" s="637"/>
      <c r="D145" s="637"/>
      <c r="E145" s="637"/>
      <c r="F145" s="637"/>
      <c r="G145" s="637"/>
      <c r="H145" s="637"/>
      <c r="I145" s="637"/>
      <c r="J145" s="637"/>
    </row>
    <row r="146" spans="1:10" x14ac:dyDescent="0.2">
      <c r="A146" s="626"/>
      <c r="B146" s="637"/>
      <c r="C146" s="637"/>
      <c r="D146" s="637"/>
      <c r="E146" s="637"/>
      <c r="F146" s="637"/>
      <c r="G146" s="637"/>
      <c r="H146" s="637"/>
      <c r="I146" s="637"/>
      <c r="J146" s="637"/>
    </row>
    <row r="147" spans="1:10" x14ac:dyDescent="0.2">
      <c r="A147" s="626"/>
      <c r="B147" s="637"/>
      <c r="C147" s="637"/>
      <c r="D147" s="637"/>
      <c r="E147" s="637"/>
      <c r="F147" s="637"/>
      <c r="G147" s="637"/>
      <c r="H147" s="637"/>
      <c r="I147" s="637"/>
      <c r="J147" s="637"/>
    </row>
    <row r="148" spans="1:10" x14ac:dyDescent="0.2">
      <c r="A148" s="626"/>
      <c r="B148" s="637"/>
      <c r="C148" s="637"/>
      <c r="D148" s="637"/>
      <c r="E148" s="637"/>
      <c r="F148" s="637"/>
      <c r="G148" s="637"/>
      <c r="H148" s="637"/>
      <c r="I148" s="637"/>
      <c r="J148" s="637"/>
    </row>
    <row r="149" spans="1:10" x14ac:dyDescent="0.2">
      <c r="A149" s="626"/>
      <c r="B149" s="637"/>
      <c r="C149" s="637"/>
      <c r="D149" s="637"/>
      <c r="E149" s="637"/>
      <c r="F149" s="637"/>
      <c r="G149" s="637"/>
      <c r="H149" s="637"/>
      <c r="I149" s="637"/>
      <c r="J149" s="637"/>
    </row>
    <row r="150" spans="1:10" x14ac:dyDescent="0.2">
      <c r="A150" s="626"/>
      <c r="B150" s="637"/>
      <c r="C150" s="637"/>
      <c r="D150" s="637"/>
      <c r="E150" s="637"/>
      <c r="F150" s="637"/>
      <c r="G150" s="637"/>
      <c r="H150" s="637"/>
      <c r="I150" s="637"/>
      <c r="J150" s="637"/>
    </row>
    <row r="151" spans="1:10" x14ac:dyDescent="0.2">
      <c r="A151" s="626"/>
      <c r="B151" s="637"/>
      <c r="C151" s="637"/>
      <c r="D151" s="637"/>
      <c r="E151" s="637"/>
      <c r="F151" s="637"/>
      <c r="G151" s="637"/>
      <c r="H151" s="637"/>
      <c r="I151" s="637"/>
      <c r="J151" s="637"/>
    </row>
    <row r="152" spans="1:10" x14ac:dyDescent="0.2">
      <c r="A152" s="626"/>
      <c r="B152" s="637"/>
      <c r="C152" s="637"/>
      <c r="D152" s="637"/>
      <c r="E152" s="637"/>
      <c r="F152" s="637"/>
      <c r="G152" s="637"/>
      <c r="H152" s="637"/>
      <c r="I152" s="637"/>
      <c r="J152" s="637"/>
    </row>
    <row r="153" spans="1:10" x14ac:dyDescent="0.2">
      <c r="A153" s="626"/>
      <c r="B153" s="637"/>
      <c r="C153" s="637"/>
      <c r="D153" s="637"/>
      <c r="E153" s="637"/>
      <c r="F153" s="637"/>
      <c r="G153" s="637"/>
      <c r="H153" s="637"/>
      <c r="I153" s="637"/>
      <c r="J153" s="637"/>
    </row>
    <row r="154" spans="1:10" x14ac:dyDescent="0.2">
      <c r="A154" s="626"/>
      <c r="B154" s="637"/>
      <c r="C154" s="637"/>
      <c r="D154" s="637"/>
      <c r="E154" s="637"/>
      <c r="F154" s="637"/>
      <c r="G154" s="637"/>
      <c r="H154" s="637"/>
      <c r="I154" s="637"/>
      <c r="J154" s="637"/>
    </row>
    <row r="155" spans="1:10" x14ac:dyDescent="0.2">
      <c r="A155" s="626"/>
      <c r="B155" s="637"/>
      <c r="C155" s="637"/>
      <c r="D155" s="637"/>
      <c r="E155" s="637"/>
      <c r="F155" s="637"/>
      <c r="G155" s="637"/>
      <c r="H155" s="637"/>
      <c r="I155" s="637"/>
      <c r="J155" s="637"/>
    </row>
    <row r="156" spans="1:10" x14ac:dyDescent="0.2">
      <c r="A156" s="626"/>
      <c r="B156" s="637"/>
      <c r="C156" s="637"/>
      <c r="D156" s="637"/>
      <c r="E156" s="637"/>
      <c r="F156" s="637"/>
      <c r="G156" s="637"/>
      <c r="H156" s="637"/>
      <c r="I156" s="637"/>
      <c r="J156" s="637"/>
    </row>
    <row r="157" spans="1:10" x14ac:dyDescent="0.2">
      <c r="A157" s="626"/>
      <c r="B157" s="637"/>
      <c r="C157" s="637"/>
      <c r="D157" s="637"/>
      <c r="E157" s="637"/>
      <c r="F157" s="637"/>
      <c r="G157" s="637"/>
      <c r="H157" s="637"/>
      <c r="I157" s="637"/>
      <c r="J157" s="637"/>
    </row>
    <row r="158" spans="1:10" x14ac:dyDescent="0.2">
      <c r="A158" s="626"/>
      <c r="B158" s="637"/>
      <c r="C158" s="637"/>
      <c r="D158" s="637"/>
      <c r="E158" s="637"/>
      <c r="F158" s="637"/>
      <c r="G158" s="637"/>
      <c r="H158" s="637"/>
      <c r="I158" s="637"/>
      <c r="J158" s="637"/>
    </row>
    <row r="159" spans="1:10" x14ac:dyDescent="0.2">
      <c r="A159" s="626"/>
      <c r="B159" s="637"/>
      <c r="C159" s="637"/>
      <c r="D159" s="637"/>
      <c r="E159" s="637"/>
      <c r="F159" s="637"/>
      <c r="G159" s="637"/>
      <c r="H159" s="637"/>
      <c r="I159" s="637"/>
      <c r="J159" s="637"/>
    </row>
    <row r="160" spans="1:10" x14ac:dyDescent="0.2">
      <c r="A160" s="626"/>
      <c r="B160" s="637"/>
      <c r="C160" s="637"/>
      <c r="D160" s="637"/>
      <c r="E160" s="637"/>
      <c r="F160" s="637"/>
      <c r="G160" s="637"/>
      <c r="H160" s="637"/>
      <c r="I160" s="637"/>
      <c r="J160" s="637"/>
    </row>
    <row r="161" spans="1:10" x14ac:dyDescent="0.2">
      <c r="A161" s="626"/>
      <c r="B161" s="637"/>
      <c r="C161" s="637"/>
      <c r="D161" s="637"/>
      <c r="E161" s="637"/>
      <c r="F161" s="637"/>
      <c r="G161" s="637"/>
      <c r="H161" s="637"/>
      <c r="I161" s="637"/>
      <c r="J161" s="637"/>
    </row>
    <row r="162" spans="1:10" x14ac:dyDescent="0.2">
      <c r="A162" s="626"/>
      <c r="B162" s="637"/>
      <c r="C162" s="637"/>
      <c r="D162" s="637"/>
      <c r="E162" s="637"/>
      <c r="F162" s="637"/>
      <c r="G162" s="637"/>
      <c r="H162" s="637"/>
      <c r="I162" s="637"/>
      <c r="J162" s="637"/>
    </row>
    <row r="163" spans="1:10" x14ac:dyDescent="0.2">
      <c r="A163" s="626"/>
      <c r="B163" s="637"/>
      <c r="C163" s="637"/>
      <c r="D163" s="637"/>
      <c r="E163" s="637"/>
      <c r="F163" s="637"/>
      <c r="G163" s="637"/>
      <c r="H163" s="637"/>
      <c r="I163" s="637"/>
      <c r="J163" s="637"/>
    </row>
    <row r="164" spans="1:10" x14ac:dyDescent="0.2">
      <c r="A164" s="626"/>
      <c r="B164" s="637"/>
      <c r="C164" s="637"/>
      <c r="D164" s="637"/>
      <c r="E164" s="637"/>
      <c r="F164" s="637"/>
      <c r="G164" s="637"/>
      <c r="H164" s="637"/>
      <c r="I164" s="637"/>
      <c r="J164" s="637"/>
    </row>
    <row r="165" spans="1:10" x14ac:dyDescent="0.2">
      <c r="A165" s="626"/>
      <c r="B165" s="637"/>
      <c r="C165" s="637"/>
      <c r="D165" s="637"/>
      <c r="E165" s="637"/>
      <c r="F165" s="637"/>
      <c r="G165" s="637"/>
      <c r="H165" s="637"/>
      <c r="I165" s="637"/>
      <c r="J165" s="637"/>
    </row>
    <row r="166" spans="1:10" x14ac:dyDescent="0.2">
      <c r="A166" s="626"/>
      <c r="B166" s="637"/>
      <c r="C166" s="637"/>
      <c r="D166" s="637"/>
      <c r="E166" s="637"/>
      <c r="F166" s="637"/>
      <c r="G166" s="637"/>
      <c r="H166" s="637"/>
      <c r="I166" s="637"/>
      <c r="J166" s="637"/>
    </row>
    <row r="167" spans="1:10" x14ac:dyDescent="0.2">
      <c r="A167" s="626"/>
      <c r="B167" s="637"/>
      <c r="C167" s="637"/>
      <c r="D167" s="637"/>
      <c r="E167" s="637"/>
      <c r="F167" s="637"/>
      <c r="G167" s="637"/>
      <c r="H167" s="637"/>
      <c r="I167" s="637"/>
      <c r="J167" s="637"/>
    </row>
    <row r="168" spans="1:10" x14ac:dyDescent="0.2">
      <c r="A168" s="626"/>
      <c r="B168" s="637"/>
      <c r="C168" s="637"/>
      <c r="D168" s="637"/>
      <c r="E168" s="637"/>
      <c r="F168" s="637"/>
      <c r="G168" s="637"/>
      <c r="H168" s="637"/>
      <c r="I168" s="637"/>
      <c r="J168" s="637"/>
    </row>
    <row r="169" spans="1:10" x14ac:dyDescent="0.2">
      <c r="A169" s="626"/>
      <c r="B169" s="637"/>
      <c r="C169" s="637"/>
      <c r="D169" s="637"/>
      <c r="E169" s="637"/>
      <c r="F169" s="637"/>
      <c r="G169" s="637"/>
      <c r="H169" s="637"/>
      <c r="I169" s="637"/>
      <c r="J169" s="637"/>
    </row>
    <row r="170" spans="1:10" x14ac:dyDescent="0.2">
      <c r="A170" s="626"/>
      <c r="B170" s="637"/>
      <c r="C170" s="637"/>
      <c r="D170" s="637"/>
      <c r="E170" s="637"/>
      <c r="F170" s="637"/>
      <c r="G170" s="637"/>
      <c r="H170" s="637"/>
      <c r="I170" s="637"/>
      <c r="J170" s="637"/>
    </row>
    <row r="171" spans="1:10" x14ac:dyDescent="0.2">
      <c r="A171" s="626"/>
      <c r="B171" s="637"/>
      <c r="C171" s="637"/>
      <c r="D171" s="637"/>
      <c r="E171" s="637"/>
      <c r="F171" s="637"/>
      <c r="G171" s="637"/>
      <c r="H171" s="637"/>
      <c r="I171" s="637"/>
      <c r="J171" s="637"/>
    </row>
    <row r="172" spans="1:10" x14ac:dyDescent="0.2">
      <c r="A172" s="626"/>
      <c r="B172" s="637"/>
      <c r="C172" s="637"/>
      <c r="D172" s="637"/>
      <c r="E172" s="637"/>
      <c r="F172" s="637"/>
      <c r="G172" s="637"/>
      <c r="H172" s="637"/>
      <c r="I172" s="637"/>
      <c r="J172" s="637"/>
    </row>
    <row r="173" spans="1:10" x14ac:dyDescent="0.2">
      <c r="A173" s="626"/>
      <c r="B173" s="637"/>
      <c r="C173" s="637"/>
      <c r="D173" s="637"/>
      <c r="E173" s="637"/>
      <c r="F173" s="637"/>
      <c r="G173" s="637"/>
      <c r="H173" s="637"/>
      <c r="I173" s="637"/>
      <c r="J173" s="637"/>
    </row>
    <row r="174" spans="1:10" x14ac:dyDescent="0.2">
      <c r="A174" s="626"/>
      <c r="B174" s="637"/>
      <c r="C174" s="637"/>
      <c r="D174" s="637"/>
      <c r="E174" s="637"/>
      <c r="F174" s="637"/>
      <c r="G174" s="637"/>
      <c r="H174" s="637"/>
      <c r="I174" s="637"/>
      <c r="J174" s="637"/>
    </row>
    <row r="175" spans="1:10" x14ac:dyDescent="0.2">
      <c r="A175" s="626"/>
      <c r="B175" s="637"/>
      <c r="C175" s="637"/>
      <c r="D175" s="637"/>
      <c r="E175" s="637"/>
      <c r="F175" s="637"/>
      <c r="G175" s="637"/>
      <c r="H175" s="637"/>
      <c r="I175" s="637"/>
      <c r="J175" s="637"/>
    </row>
    <row r="176" spans="1:10" x14ac:dyDescent="0.2">
      <c r="A176" s="626"/>
      <c r="B176" s="637"/>
      <c r="C176" s="637"/>
      <c r="D176" s="637"/>
      <c r="E176" s="637"/>
      <c r="F176" s="637"/>
      <c r="G176" s="637"/>
      <c r="H176" s="637"/>
      <c r="I176" s="637"/>
      <c r="J176" s="637"/>
    </row>
    <row r="177" spans="1:10" x14ac:dyDescent="0.2">
      <c r="A177" s="626"/>
      <c r="B177" s="637"/>
      <c r="C177" s="637"/>
      <c r="D177" s="637"/>
      <c r="E177" s="637"/>
      <c r="F177" s="637"/>
      <c r="G177" s="637"/>
      <c r="H177" s="637"/>
      <c r="I177" s="637"/>
      <c r="J177" s="637"/>
    </row>
    <row r="178" spans="1:10" x14ac:dyDescent="0.2">
      <c r="A178" s="626"/>
      <c r="B178" s="637"/>
      <c r="C178" s="637"/>
      <c r="D178" s="637"/>
      <c r="E178" s="637"/>
      <c r="F178" s="637"/>
      <c r="G178" s="637"/>
      <c r="H178" s="637"/>
      <c r="I178" s="637"/>
      <c r="J178" s="637"/>
    </row>
    <row r="179" spans="1:10" x14ac:dyDescent="0.2">
      <c r="A179" s="626"/>
      <c r="B179" s="637"/>
      <c r="C179" s="637"/>
      <c r="D179" s="637"/>
      <c r="E179" s="637"/>
      <c r="F179" s="637"/>
      <c r="G179" s="637"/>
      <c r="H179" s="637"/>
      <c r="I179" s="637"/>
      <c r="J179" s="637"/>
    </row>
    <row r="180" spans="1:10" x14ac:dyDescent="0.2">
      <c r="A180" s="626"/>
      <c r="B180" s="637"/>
      <c r="C180" s="637"/>
      <c r="D180" s="637"/>
      <c r="E180" s="637"/>
      <c r="F180" s="637"/>
      <c r="G180" s="637"/>
      <c r="H180" s="637"/>
      <c r="I180" s="637"/>
      <c r="J180" s="637"/>
    </row>
    <row r="181" spans="1:10" x14ac:dyDescent="0.2">
      <c r="A181" s="626"/>
      <c r="B181" s="637"/>
      <c r="C181" s="637"/>
      <c r="D181" s="637"/>
      <c r="E181" s="637"/>
      <c r="F181" s="637"/>
      <c r="G181" s="637"/>
      <c r="H181" s="637"/>
      <c r="I181" s="637"/>
      <c r="J181" s="637"/>
    </row>
    <row r="182" spans="1:10" x14ac:dyDescent="0.2">
      <c r="A182" s="626"/>
      <c r="B182" s="637"/>
      <c r="C182" s="637"/>
      <c r="D182" s="637"/>
      <c r="E182" s="637"/>
      <c r="F182" s="637"/>
      <c r="G182" s="637"/>
      <c r="H182" s="637"/>
      <c r="I182" s="637"/>
      <c r="J182" s="637"/>
    </row>
    <row r="183" spans="1:10" x14ac:dyDescent="0.2">
      <c r="A183" s="626"/>
      <c r="B183" s="637"/>
      <c r="C183" s="637"/>
      <c r="D183" s="637"/>
      <c r="E183" s="637"/>
      <c r="F183" s="637"/>
      <c r="G183" s="637"/>
      <c r="H183" s="637"/>
      <c r="I183" s="637"/>
      <c r="J183" s="637"/>
    </row>
    <row r="184" spans="1:10" x14ac:dyDescent="0.2">
      <c r="A184" s="626"/>
      <c r="B184" s="637"/>
      <c r="C184" s="637"/>
      <c r="D184" s="637"/>
      <c r="E184" s="637"/>
      <c r="F184" s="637"/>
      <c r="G184" s="637"/>
      <c r="H184" s="637"/>
      <c r="I184" s="637"/>
      <c r="J184" s="637"/>
    </row>
    <row r="185" spans="1:10" x14ac:dyDescent="0.2">
      <c r="A185" s="626"/>
      <c r="B185" s="637"/>
      <c r="C185" s="637"/>
      <c r="D185" s="637"/>
      <c r="E185" s="637"/>
      <c r="F185" s="637"/>
      <c r="G185" s="637"/>
      <c r="H185" s="637"/>
      <c r="I185" s="637"/>
      <c r="J185" s="637"/>
    </row>
    <row r="186" spans="1:10" x14ac:dyDescent="0.2">
      <c r="A186" s="626"/>
      <c r="B186" s="637"/>
      <c r="C186" s="637"/>
      <c r="D186" s="637"/>
      <c r="E186" s="637"/>
      <c r="F186" s="637"/>
      <c r="G186" s="637"/>
      <c r="H186" s="637"/>
      <c r="I186" s="637"/>
      <c r="J186" s="637"/>
    </row>
    <row r="187" spans="1:10" x14ac:dyDescent="0.2">
      <c r="A187" s="626"/>
      <c r="B187" s="637"/>
      <c r="C187" s="637"/>
      <c r="D187" s="637"/>
      <c r="E187" s="637"/>
      <c r="F187" s="637"/>
      <c r="G187" s="637"/>
      <c r="H187" s="637"/>
      <c r="I187" s="637"/>
      <c r="J187" s="637"/>
    </row>
    <row r="188" spans="1:10" x14ac:dyDescent="0.2">
      <c r="A188" s="626"/>
      <c r="B188" s="637"/>
      <c r="C188" s="637"/>
      <c r="D188" s="637"/>
      <c r="E188" s="637"/>
      <c r="F188" s="637"/>
      <c r="G188" s="637"/>
      <c r="H188" s="637"/>
      <c r="I188" s="637"/>
      <c r="J188" s="637"/>
    </row>
    <row r="189" spans="1:10" x14ac:dyDescent="0.2">
      <c r="A189" s="626"/>
      <c r="B189" s="637"/>
      <c r="C189" s="637"/>
      <c r="D189" s="637"/>
      <c r="E189" s="637"/>
      <c r="F189" s="637"/>
      <c r="G189" s="637"/>
      <c r="H189" s="637"/>
      <c r="I189" s="637"/>
      <c r="J189" s="637"/>
    </row>
    <row r="190" spans="1:10" x14ac:dyDescent="0.2">
      <c r="A190" s="626"/>
      <c r="B190" s="637"/>
      <c r="C190" s="637"/>
      <c r="D190" s="637"/>
      <c r="E190" s="637"/>
      <c r="F190" s="637"/>
      <c r="G190" s="637"/>
      <c r="H190" s="637"/>
      <c r="I190" s="637"/>
      <c r="J190" s="637"/>
    </row>
    <row r="191" spans="1:10" x14ac:dyDescent="0.2">
      <c r="A191" s="626"/>
      <c r="B191" s="637"/>
      <c r="C191" s="637"/>
      <c r="D191" s="637"/>
      <c r="E191" s="637"/>
      <c r="F191" s="637"/>
      <c r="G191" s="637"/>
      <c r="H191" s="637"/>
      <c r="I191" s="637"/>
      <c r="J191" s="637"/>
    </row>
    <row r="192" spans="1:10" x14ac:dyDescent="0.2">
      <c r="A192" s="626"/>
      <c r="B192" s="637"/>
      <c r="C192" s="637"/>
      <c r="D192" s="637"/>
      <c r="E192" s="637"/>
      <c r="F192" s="637"/>
      <c r="G192" s="637"/>
      <c r="H192" s="637"/>
      <c r="I192" s="637"/>
      <c r="J192" s="637"/>
    </row>
    <row r="193" spans="1:10" x14ac:dyDescent="0.2">
      <c r="A193" s="626"/>
      <c r="B193" s="637"/>
      <c r="C193" s="637"/>
      <c r="D193" s="637"/>
      <c r="E193" s="637"/>
      <c r="F193" s="637"/>
      <c r="G193" s="637"/>
      <c r="H193" s="637"/>
      <c r="I193" s="637"/>
      <c r="J193" s="637"/>
    </row>
    <row r="194" spans="1:10" x14ac:dyDescent="0.2">
      <c r="A194" s="626"/>
      <c r="B194" s="637"/>
      <c r="C194" s="637"/>
      <c r="D194" s="637"/>
      <c r="E194" s="637"/>
      <c r="F194" s="637"/>
      <c r="G194" s="637"/>
      <c r="H194" s="637"/>
      <c r="I194" s="637"/>
      <c r="J194" s="637"/>
    </row>
    <row r="195" spans="1:10" x14ac:dyDescent="0.2">
      <c r="A195" s="626"/>
      <c r="B195" s="637"/>
      <c r="C195" s="637"/>
      <c r="D195" s="637"/>
      <c r="E195" s="637"/>
      <c r="F195" s="637"/>
      <c r="G195" s="637"/>
      <c r="H195" s="637"/>
      <c r="I195" s="637"/>
      <c r="J195" s="637"/>
    </row>
    <row r="196" spans="1:10" x14ac:dyDescent="0.2">
      <c r="A196" s="626"/>
      <c r="B196" s="637"/>
      <c r="C196" s="637"/>
      <c r="D196" s="637"/>
      <c r="E196" s="637"/>
      <c r="F196" s="637"/>
      <c r="G196" s="637"/>
      <c r="H196" s="637"/>
      <c r="I196" s="637"/>
      <c r="J196" s="637"/>
    </row>
    <row r="197" spans="1:10" x14ac:dyDescent="0.2">
      <c r="A197" s="626"/>
      <c r="B197" s="637"/>
      <c r="C197" s="637"/>
      <c r="D197" s="637"/>
      <c r="E197" s="637"/>
      <c r="F197" s="637"/>
      <c r="G197" s="637"/>
      <c r="H197" s="637"/>
      <c r="I197" s="637"/>
      <c r="J197" s="637"/>
    </row>
    <row r="198" spans="1:10" x14ac:dyDescent="0.2">
      <c r="A198" s="626"/>
      <c r="B198" s="637"/>
      <c r="C198" s="637"/>
      <c r="D198" s="637"/>
      <c r="E198" s="637"/>
      <c r="F198" s="637"/>
      <c r="G198" s="637"/>
      <c r="H198" s="637"/>
      <c r="I198" s="637"/>
      <c r="J198" s="637"/>
    </row>
    <row r="199" spans="1:10" x14ac:dyDescent="0.2">
      <c r="A199" s="626"/>
      <c r="B199" s="637"/>
      <c r="C199" s="637"/>
      <c r="D199" s="637"/>
      <c r="E199" s="637"/>
      <c r="F199" s="637"/>
      <c r="G199" s="637"/>
      <c r="H199" s="637"/>
      <c r="I199" s="637"/>
      <c r="J199" s="637"/>
    </row>
    <row r="200" spans="1:10" x14ac:dyDescent="0.2">
      <c r="A200" s="626"/>
      <c r="B200" s="637"/>
      <c r="C200" s="637"/>
      <c r="D200" s="637"/>
      <c r="E200" s="637"/>
      <c r="F200" s="637"/>
      <c r="G200" s="637"/>
      <c r="H200" s="637"/>
      <c r="I200" s="637"/>
      <c r="J200" s="637"/>
    </row>
    <row r="201" spans="1:10" x14ac:dyDescent="0.2">
      <c r="A201" s="626"/>
      <c r="B201" s="637"/>
      <c r="C201" s="637"/>
      <c r="D201" s="637"/>
      <c r="E201" s="637"/>
      <c r="F201" s="637"/>
      <c r="G201" s="637"/>
      <c r="H201" s="637"/>
      <c r="I201" s="637"/>
      <c r="J201" s="637"/>
    </row>
    <row r="202" spans="1:10" x14ac:dyDescent="0.2">
      <c r="A202" s="626"/>
      <c r="B202" s="637"/>
      <c r="C202" s="637"/>
      <c r="D202" s="637"/>
      <c r="E202" s="637"/>
      <c r="F202" s="637"/>
      <c r="G202" s="637"/>
      <c r="H202" s="637"/>
      <c r="I202" s="637"/>
      <c r="J202" s="637"/>
    </row>
    <row r="203" spans="1:10" x14ac:dyDescent="0.2">
      <c r="A203" s="626"/>
      <c r="B203" s="637"/>
      <c r="C203" s="637"/>
      <c r="D203" s="637"/>
      <c r="E203" s="637"/>
      <c r="F203" s="637"/>
      <c r="G203" s="637"/>
      <c r="H203" s="637"/>
      <c r="I203" s="637"/>
      <c r="J203" s="637"/>
    </row>
    <row r="204" spans="1:10" x14ac:dyDescent="0.2">
      <c r="A204" s="626"/>
      <c r="B204" s="637"/>
      <c r="C204" s="637"/>
      <c r="D204" s="637"/>
      <c r="E204" s="637"/>
      <c r="F204" s="637"/>
      <c r="G204" s="637"/>
      <c r="H204" s="637"/>
      <c r="I204" s="637"/>
      <c r="J204" s="637"/>
    </row>
    <row r="205" spans="1:10" x14ac:dyDescent="0.2">
      <c r="A205" s="626"/>
      <c r="B205" s="637"/>
      <c r="C205" s="637"/>
      <c r="D205" s="637"/>
      <c r="E205" s="637"/>
      <c r="F205" s="637"/>
      <c r="G205" s="637"/>
      <c r="H205" s="637"/>
      <c r="I205" s="637"/>
      <c r="J205" s="637"/>
    </row>
    <row r="206" spans="1:10" x14ac:dyDescent="0.2">
      <c r="A206" s="626"/>
      <c r="B206" s="637"/>
      <c r="C206" s="637"/>
      <c r="D206" s="637"/>
      <c r="E206" s="637"/>
      <c r="F206" s="637"/>
      <c r="G206" s="637"/>
      <c r="H206" s="637"/>
      <c r="I206" s="637"/>
      <c r="J206" s="637"/>
    </row>
    <row r="207" spans="1:10" x14ac:dyDescent="0.2">
      <c r="A207" s="626"/>
      <c r="B207" s="637"/>
      <c r="C207" s="637"/>
      <c r="D207" s="637"/>
      <c r="E207" s="637"/>
      <c r="F207" s="637"/>
      <c r="G207" s="637"/>
      <c r="H207" s="637"/>
      <c r="I207" s="637"/>
      <c r="J207" s="637"/>
    </row>
    <row r="208" spans="1:10" x14ac:dyDescent="0.2">
      <c r="A208" s="626"/>
      <c r="B208" s="637"/>
      <c r="C208" s="637"/>
      <c r="D208" s="637"/>
      <c r="E208" s="637"/>
      <c r="F208" s="637"/>
      <c r="G208" s="637"/>
      <c r="H208" s="637"/>
      <c r="I208" s="637"/>
      <c r="J208" s="637"/>
    </row>
    <row r="209" spans="1:10" x14ac:dyDescent="0.2">
      <c r="A209" s="626"/>
      <c r="B209" s="637"/>
      <c r="C209" s="637"/>
      <c r="D209" s="637"/>
      <c r="E209" s="637"/>
      <c r="F209" s="637"/>
      <c r="G209" s="637"/>
      <c r="H209" s="637"/>
      <c r="I209" s="637"/>
      <c r="J209" s="637"/>
    </row>
    <row r="210" spans="1:10" x14ac:dyDescent="0.2">
      <c r="A210" s="626"/>
      <c r="B210" s="637"/>
      <c r="C210" s="637"/>
      <c r="D210" s="637"/>
      <c r="E210" s="637"/>
      <c r="F210" s="637"/>
      <c r="G210" s="637"/>
      <c r="H210" s="637"/>
      <c r="I210" s="637"/>
      <c r="J210" s="637"/>
    </row>
    <row r="211" spans="1:10" x14ac:dyDescent="0.2">
      <c r="A211" s="626"/>
      <c r="B211" s="637"/>
      <c r="C211" s="637"/>
      <c r="D211" s="637"/>
      <c r="E211" s="637"/>
      <c r="F211" s="637"/>
      <c r="G211" s="637"/>
      <c r="H211" s="637"/>
      <c r="I211" s="637"/>
      <c r="J211" s="637"/>
    </row>
    <row r="212" spans="1:10" x14ac:dyDescent="0.2">
      <c r="A212" s="626"/>
      <c r="B212" s="637"/>
      <c r="C212" s="637"/>
      <c r="D212" s="637"/>
      <c r="E212" s="637"/>
      <c r="F212" s="637"/>
      <c r="G212" s="637"/>
      <c r="H212" s="637"/>
      <c r="I212" s="637"/>
      <c r="J212" s="637"/>
    </row>
    <row r="213" spans="1:10" x14ac:dyDescent="0.2">
      <c r="A213" s="626"/>
      <c r="B213" s="637"/>
      <c r="C213" s="637"/>
      <c r="D213" s="637"/>
      <c r="E213" s="637"/>
      <c r="F213" s="637"/>
      <c r="G213" s="637"/>
      <c r="H213" s="637"/>
      <c r="I213" s="637"/>
      <c r="J213" s="637"/>
    </row>
    <row r="214" spans="1:10" x14ac:dyDescent="0.2">
      <c r="A214" s="626"/>
      <c r="B214" s="637"/>
      <c r="C214" s="637"/>
      <c r="D214" s="637"/>
      <c r="E214" s="637"/>
      <c r="F214" s="637"/>
      <c r="G214" s="637"/>
      <c r="H214" s="637"/>
      <c r="I214" s="637"/>
      <c r="J214" s="637"/>
    </row>
    <row r="215" spans="1:10" x14ac:dyDescent="0.2">
      <c r="A215" s="626"/>
      <c r="B215" s="637"/>
      <c r="C215" s="637"/>
      <c r="D215" s="637"/>
      <c r="E215" s="637"/>
      <c r="F215" s="637"/>
      <c r="G215" s="637"/>
      <c r="H215" s="637"/>
      <c r="I215" s="637"/>
      <c r="J215" s="637"/>
    </row>
    <row r="216" spans="1:10" x14ac:dyDescent="0.2">
      <c r="A216" s="626"/>
      <c r="B216" s="637"/>
      <c r="C216" s="637"/>
      <c r="D216" s="637"/>
      <c r="E216" s="637"/>
      <c r="F216" s="637"/>
      <c r="G216" s="637"/>
      <c r="H216" s="637"/>
      <c r="I216" s="637"/>
      <c r="J216" s="637"/>
    </row>
    <row r="217" spans="1:10" x14ac:dyDescent="0.2">
      <c r="A217" s="626"/>
      <c r="B217" s="637"/>
      <c r="C217" s="637"/>
      <c r="D217" s="637"/>
      <c r="E217" s="637"/>
      <c r="F217" s="637"/>
      <c r="G217" s="637"/>
      <c r="H217" s="637"/>
      <c r="I217" s="637"/>
      <c r="J217" s="637"/>
    </row>
    <row r="218" spans="1:10" x14ac:dyDescent="0.2">
      <c r="A218" s="626"/>
      <c r="B218" s="637"/>
      <c r="C218" s="637"/>
      <c r="D218" s="637"/>
      <c r="E218" s="637"/>
      <c r="F218" s="637"/>
      <c r="G218" s="637"/>
      <c r="H218" s="637"/>
      <c r="I218" s="637"/>
      <c r="J218" s="637"/>
    </row>
    <row r="219" spans="1:10" x14ac:dyDescent="0.2">
      <c r="A219" s="626"/>
      <c r="B219" s="637"/>
      <c r="C219" s="637"/>
      <c r="D219" s="637"/>
      <c r="E219" s="637"/>
      <c r="F219" s="637"/>
      <c r="G219" s="637"/>
      <c r="H219" s="637"/>
      <c r="I219" s="637"/>
      <c r="J219" s="637"/>
    </row>
    <row r="220" spans="1:10" x14ac:dyDescent="0.2">
      <c r="A220" s="626"/>
      <c r="B220" s="637"/>
      <c r="C220" s="637"/>
      <c r="D220" s="637"/>
      <c r="E220" s="637"/>
      <c r="F220" s="637"/>
      <c r="G220" s="637"/>
      <c r="H220" s="637"/>
      <c r="I220" s="637"/>
      <c r="J220" s="637"/>
    </row>
    <row r="221" spans="1:10" x14ac:dyDescent="0.2">
      <c r="A221" s="626"/>
      <c r="B221" s="637"/>
      <c r="C221" s="637"/>
      <c r="D221" s="637"/>
      <c r="E221" s="637"/>
      <c r="F221" s="637"/>
      <c r="G221" s="637"/>
      <c r="H221" s="637"/>
      <c r="I221" s="637"/>
      <c r="J221" s="637"/>
    </row>
    <row r="222" spans="1:10" x14ac:dyDescent="0.2">
      <c r="A222" s="626"/>
      <c r="B222" s="637"/>
      <c r="C222" s="637"/>
      <c r="D222" s="637"/>
      <c r="E222" s="637"/>
      <c r="F222" s="637"/>
      <c r="G222" s="637"/>
      <c r="H222" s="637"/>
      <c r="I222" s="637"/>
      <c r="J222" s="637"/>
    </row>
    <row r="223" spans="1:10" x14ac:dyDescent="0.2">
      <c r="A223" s="626"/>
      <c r="B223" s="637"/>
      <c r="C223" s="637"/>
      <c r="D223" s="637"/>
      <c r="E223" s="637"/>
      <c r="F223" s="637"/>
      <c r="G223" s="637"/>
      <c r="H223" s="637"/>
      <c r="I223" s="637"/>
      <c r="J223" s="637"/>
    </row>
    <row r="224" spans="1:10" x14ac:dyDescent="0.2">
      <c r="A224" s="626"/>
      <c r="B224" s="637"/>
      <c r="C224" s="637"/>
      <c r="D224" s="637"/>
      <c r="E224" s="637"/>
      <c r="F224" s="637"/>
      <c r="G224" s="637"/>
      <c r="H224" s="637"/>
      <c r="I224" s="637"/>
      <c r="J224" s="637"/>
    </row>
    <row r="225" spans="1:10" x14ac:dyDescent="0.2">
      <c r="A225" s="626"/>
      <c r="B225" s="637"/>
      <c r="C225" s="637"/>
      <c r="D225" s="637"/>
      <c r="E225" s="637"/>
      <c r="F225" s="637"/>
      <c r="G225" s="637"/>
      <c r="H225" s="637"/>
      <c r="I225" s="637"/>
      <c r="J225" s="637"/>
    </row>
    <row r="226" spans="1:10" x14ac:dyDescent="0.2">
      <c r="A226" s="626"/>
      <c r="B226" s="637"/>
      <c r="C226" s="637"/>
      <c r="D226" s="637"/>
      <c r="E226" s="637"/>
      <c r="F226" s="637"/>
      <c r="G226" s="637"/>
      <c r="H226" s="637"/>
      <c r="I226" s="637"/>
      <c r="J226" s="637"/>
    </row>
    <row r="227" spans="1:10" x14ac:dyDescent="0.2">
      <c r="A227" s="626"/>
      <c r="B227" s="637"/>
      <c r="C227" s="637"/>
      <c r="D227" s="637"/>
      <c r="E227" s="637"/>
      <c r="F227" s="637"/>
      <c r="G227" s="637"/>
      <c r="H227" s="637"/>
      <c r="I227" s="637"/>
      <c r="J227" s="637"/>
    </row>
    <row r="228" spans="1:10" x14ac:dyDescent="0.2">
      <c r="A228" s="626"/>
      <c r="B228" s="637"/>
      <c r="C228" s="637"/>
      <c r="D228" s="637"/>
      <c r="E228" s="637"/>
      <c r="F228" s="637"/>
      <c r="G228" s="637"/>
      <c r="H228" s="637"/>
      <c r="I228" s="637"/>
      <c r="J228" s="637"/>
    </row>
    <row r="229" spans="1:10" x14ac:dyDescent="0.2">
      <c r="A229" s="626"/>
      <c r="B229" s="637"/>
      <c r="C229" s="637"/>
      <c r="D229" s="637"/>
      <c r="E229" s="637"/>
      <c r="F229" s="637"/>
      <c r="G229" s="637"/>
      <c r="H229" s="637"/>
      <c r="I229" s="637"/>
      <c r="J229" s="637"/>
    </row>
    <row r="230" spans="1:10" x14ac:dyDescent="0.2">
      <c r="A230" s="626"/>
      <c r="B230" s="637"/>
      <c r="C230" s="637"/>
      <c r="D230" s="637"/>
      <c r="E230" s="637"/>
      <c r="F230" s="637"/>
      <c r="G230" s="637"/>
      <c r="H230" s="637"/>
      <c r="I230" s="637"/>
      <c r="J230" s="637"/>
    </row>
    <row r="231" spans="1:10" x14ac:dyDescent="0.2">
      <c r="A231" s="626"/>
      <c r="B231" s="637"/>
      <c r="C231" s="637"/>
      <c r="D231" s="637"/>
      <c r="E231" s="637"/>
      <c r="F231" s="637"/>
      <c r="G231" s="637"/>
      <c r="H231" s="637"/>
      <c r="I231" s="637"/>
      <c r="J231" s="637"/>
    </row>
    <row r="232" spans="1:10" x14ac:dyDescent="0.2">
      <c r="A232" s="626"/>
      <c r="B232" s="637"/>
      <c r="C232" s="637"/>
      <c r="D232" s="637"/>
      <c r="E232" s="637"/>
      <c r="F232" s="637"/>
      <c r="G232" s="637"/>
      <c r="H232" s="637"/>
      <c r="I232" s="637"/>
      <c r="J232" s="637"/>
    </row>
    <row r="233" spans="1:10" x14ac:dyDescent="0.2">
      <c r="A233" s="626"/>
      <c r="B233" s="637"/>
      <c r="C233" s="637"/>
      <c r="D233" s="637"/>
      <c r="E233" s="637"/>
      <c r="F233" s="637"/>
      <c r="G233" s="637"/>
      <c r="H233" s="637"/>
      <c r="I233" s="637"/>
      <c r="J233" s="637"/>
    </row>
    <row r="234" spans="1:10" x14ac:dyDescent="0.2">
      <c r="A234" s="626"/>
      <c r="B234" s="637"/>
      <c r="C234" s="637"/>
      <c r="D234" s="637"/>
      <c r="E234" s="637"/>
      <c r="F234" s="637"/>
      <c r="G234" s="637"/>
      <c r="H234" s="637"/>
      <c r="I234" s="637"/>
      <c r="J234" s="637"/>
    </row>
    <row r="235" spans="1:10" x14ac:dyDescent="0.2">
      <c r="A235" s="626"/>
      <c r="B235" s="637"/>
      <c r="C235" s="637"/>
      <c r="D235" s="637"/>
      <c r="E235" s="637"/>
      <c r="F235" s="637"/>
      <c r="G235" s="637"/>
      <c r="H235" s="637"/>
      <c r="I235" s="637"/>
      <c r="J235" s="637"/>
    </row>
    <row r="236" spans="1:10" x14ac:dyDescent="0.2">
      <c r="A236" s="626"/>
      <c r="B236" s="637"/>
      <c r="C236" s="637"/>
      <c r="D236" s="637"/>
      <c r="E236" s="637"/>
      <c r="F236" s="637"/>
      <c r="G236" s="637"/>
      <c r="H236" s="637"/>
      <c r="I236" s="637"/>
      <c r="J236" s="637"/>
    </row>
    <row r="237" spans="1:10" x14ac:dyDescent="0.2">
      <c r="A237" s="626"/>
      <c r="B237" s="637"/>
      <c r="C237" s="637"/>
      <c r="D237" s="637"/>
      <c r="E237" s="637"/>
      <c r="F237" s="637"/>
      <c r="G237" s="637"/>
      <c r="H237" s="637"/>
      <c r="I237" s="637"/>
      <c r="J237" s="637"/>
    </row>
    <row r="238" spans="1:10" x14ac:dyDescent="0.2">
      <c r="A238" s="626"/>
      <c r="B238" s="637"/>
      <c r="C238" s="637"/>
      <c r="D238" s="637"/>
      <c r="E238" s="637"/>
      <c r="F238" s="637"/>
      <c r="G238" s="637"/>
      <c r="H238" s="637"/>
      <c r="I238" s="637"/>
      <c r="J238" s="637"/>
    </row>
    <row r="239" spans="1:10" x14ac:dyDescent="0.2">
      <c r="A239" s="626"/>
      <c r="B239" s="637"/>
      <c r="C239" s="637"/>
      <c r="D239" s="637"/>
      <c r="E239" s="637"/>
      <c r="F239" s="637"/>
      <c r="G239" s="637"/>
      <c r="H239" s="637"/>
      <c r="I239" s="637"/>
      <c r="J239" s="637"/>
    </row>
    <row r="240" spans="1:10" x14ac:dyDescent="0.2">
      <c r="A240" s="626"/>
      <c r="B240" s="637"/>
      <c r="C240" s="637"/>
      <c r="D240" s="637"/>
      <c r="E240" s="637"/>
      <c r="F240" s="637"/>
      <c r="G240" s="637"/>
      <c r="H240" s="637"/>
      <c r="I240" s="637"/>
      <c r="J240" s="637"/>
    </row>
    <row r="241" spans="1:10" x14ac:dyDescent="0.2">
      <c r="A241" s="626"/>
      <c r="B241" s="637"/>
      <c r="C241" s="637"/>
      <c r="D241" s="637"/>
      <c r="E241" s="637"/>
      <c r="F241" s="637"/>
      <c r="G241" s="637"/>
      <c r="H241" s="637"/>
      <c r="I241" s="637"/>
      <c r="J241" s="637"/>
    </row>
    <row r="242" spans="1:10" x14ac:dyDescent="0.2">
      <c r="A242" s="626"/>
      <c r="B242" s="637"/>
      <c r="C242" s="637"/>
      <c r="D242" s="637"/>
      <c r="E242" s="637"/>
      <c r="F242" s="637"/>
      <c r="G242" s="637"/>
      <c r="H242" s="637"/>
      <c r="I242" s="637"/>
      <c r="J242" s="637"/>
    </row>
    <row r="243" spans="1:10" x14ac:dyDescent="0.2">
      <c r="A243" s="626"/>
      <c r="B243" s="637"/>
      <c r="C243" s="637"/>
      <c r="D243" s="637"/>
      <c r="E243" s="637"/>
      <c r="F243" s="637"/>
      <c r="G243" s="637"/>
      <c r="H243" s="637"/>
      <c r="I243" s="637"/>
      <c r="J243" s="637"/>
    </row>
    <row r="244" spans="1:10" x14ac:dyDescent="0.2">
      <c r="A244" s="626"/>
      <c r="B244" s="637"/>
      <c r="C244" s="637"/>
      <c r="D244" s="637"/>
      <c r="E244" s="637"/>
      <c r="F244" s="637"/>
      <c r="G244" s="637"/>
      <c r="H244" s="637"/>
      <c r="I244" s="637"/>
      <c r="J244" s="637"/>
    </row>
    <row r="245" spans="1:10" x14ac:dyDescent="0.2">
      <c r="A245" s="626"/>
      <c r="B245" s="637"/>
      <c r="C245" s="637"/>
      <c r="D245" s="637"/>
      <c r="E245" s="637"/>
      <c r="F245" s="637"/>
      <c r="G245" s="637"/>
      <c r="H245" s="637"/>
      <c r="I245" s="637"/>
      <c r="J245" s="637"/>
    </row>
    <row r="246" spans="1:10" x14ac:dyDescent="0.2">
      <c r="A246" s="626"/>
      <c r="B246" s="637"/>
      <c r="C246" s="637"/>
      <c r="D246" s="637"/>
      <c r="E246" s="637"/>
      <c r="F246" s="637"/>
      <c r="G246" s="637"/>
      <c r="H246" s="637"/>
      <c r="I246" s="637"/>
      <c r="J246" s="637"/>
    </row>
    <row r="247" spans="1:10" x14ac:dyDescent="0.2">
      <c r="A247" s="626"/>
      <c r="B247" s="637"/>
      <c r="C247" s="637"/>
      <c r="D247" s="637"/>
      <c r="E247" s="637"/>
      <c r="F247" s="637"/>
      <c r="G247" s="637"/>
      <c r="H247" s="637"/>
      <c r="I247" s="637"/>
      <c r="J247" s="637"/>
    </row>
    <row r="248" spans="1:10" x14ac:dyDescent="0.2">
      <c r="A248" s="626"/>
      <c r="B248" s="637"/>
      <c r="C248" s="637"/>
      <c r="D248" s="637"/>
      <c r="E248" s="637"/>
      <c r="F248" s="637"/>
      <c r="G248" s="637"/>
      <c r="H248" s="637"/>
      <c r="I248" s="637"/>
      <c r="J248" s="637"/>
    </row>
    <row r="249" spans="1:10" x14ac:dyDescent="0.2">
      <c r="A249" s="626"/>
      <c r="B249" s="637"/>
      <c r="C249" s="637"/>
      <c r="D249" s="637"/>
      <c r="E249" s="637"/>
      <c r="F249" s="637"/>
      <c r="G249" s="637"/>
      <c r="H249" s="637"/>
      <c r="I249" s="637"/>
      <c r="J249" s="637"/>
    </row>
    <row r="250" spans="1:10" x14ac:dyDescent="0.2">
      <c r="A250" s="626"/>
      <c r="B250" s="637"/>
      <c r="C250" s="637"/>
      <c r="D250" s="637"/>
      <c r="E250" s="637"/>
      <c r="F250" s="637"/>
      <c r="G250" s="637"/>
      <c r="H250" s="637"/>
      <c r="I250" s="637"/>
      <c r="J250" s="637"/>
    </row>
    <row r="251" spans="1:10" x14ac:dyDescent="0.2">
      <c r="A251" s="626"/>
      <c r="B251" s="637"/>
      <c r="C251" s="637"/>
      <c r="D251" s="637"/>
      <c r="E251" s="637"/>
      <c r="F251" s="637"/>
      <c r="G251" s="637"/>
      <c r="H251" s="637"/>
      <c r="I251" s="637"/>
      <c r="J251" s="637"/>
    </row>
    <row r="252" spans="1:10" x14ac:dyDescent="0.2">
      <c r="A252" s="626"/>
      <c r="B252" s="637"/>
      <c r="C252" s="637"/>
      <c r="D252" s="637"/>
      <c r="E252" s="637"/>
      <c r="F252" s="637"/>
      <c r="G252" s="637"/>
      <c r="H252" s="637"/>
      <c r="I252" s="637"/>
      <c r="J252" s="637"/>
    </row>
    <row r="253" spans="1:10" x14ac:dyDescent="0.2">
      <c r="A253" s="626"/>
      <c r="B253" s="637"/>
      <c r="C253" s="637"/>
      <c r="D253" s="637"/>
      <c r="E253" s="637"/>
      <c r="F253" s="637"/>
      <c r="G253" s="637"/>
      <c r="H253" s="637"/>
      <c r="I253" s="637"/>
      <c r="J253" s="637"/>
    </row>
    <row r="254" spans="1:10" x14ac:dyDescent="0.2">
      <c r="A254" s="626"/>
      <c r="B254" s="637"/>
      <c r="C254" s="637"/>
      <c r="D254" s="637"/>
      <c r="E254" s="637"/>
      <c r="F254" s="637"/>
      <c r="G254" s="637"/>
      <c r="H254" s="637"/>
      <c r="I254" s="637"/>
      <c r="J254" s="637"/>
    </row>
    <row r="255" spans="1:10" x14ac:dyDescent="0.2">
      <c r="A255" s="626"/>
      <c r="B255" s="637"/>
      <c r="C255" s="637"/>
      <c r="D255" s="637"/>
      <c r="E255" s="637"/>
      <c r="F255" s="637"/>
      <c r="G255" s="637"/>
      <c r="H255" s="637"/>
      <c r="I255" s="637"/>
      <c r="J255" s="637"/>
    </row>
    <row r="256" spans="1:10" x14ac:dyDescent="0.2">
      <c r="A256" s="626"/>
      <c r="B256" s="637"/>
      <c r="C256" s="637"/>
      <c r="D256" s="637"/>
      <c r="E256" s="637"/>
      <c r="F256" s="637"/>
      <c r="G256" s="637"/>
      <c r="H256" s="637"/>
      <c r="I256" s="637"/>
      <c r="J256" s="637"/>
    </row>
    <row r="257" spans="1:10" x14ac:dyDescent="0.2">
      <c r="A257" s="626"/>
      <c r="B257" s="637"/>
      <c r="C257" s="637"/>
      <c r="D257" s="637"/>
      <c r="E257" s="637"/>
      <c r="F257" s="637"/>
      <c r="G257" s="637"/>
      <c r="H257" s="637"/>
      <c r="I257" s="637"/>
      <c r="J257" s="637"/>
    </row>
    <row r="258" spans="1:10" x14ac:dyDescent="0.2">
      <c r="A258" s="626"/>
      <c r="B258" s="637"/>
      <c r="C258" s="637"/>
      <c r="D258" s="637"/>
      <c r="E258" s="637"/>
      <c r="F258" s="637"/>
      <c r="G258" s="637"/>
      <c r="H258" s="637"/>
      <c r="I258" s="637"/>
      <c r="J258" s="637"/>
    </row>
    <row r="259" spans="1:10" x14ac:dyDescent="0.2">
      <c r="A259" s="626"/>
      <c r="B259" s="637"/>
      <c r="C259" s="637"/>
      <c r="D259" s="637"/>
      <c r="E259" s="637"/>
      <c r="F259" s="637"/>
      <c r="G259" s="637"/>
      <c r="H259" s="637"/>
      <c r="I259" s="637"/>
      <c r="J259" s="637"/>
    </row>
    <row r="260" spans="1:10" x14ac:dyDescent="0.2">
      <c r="A260" s="626"/>
      <c r="B260" s="637"/>
      <c r="C260" s="637"/>
      <c r="D260" s="637"/>
      <c r="E260" s="637"/>
      <c r="F260" s="637"/>
      <c r="G260" s="637"/>
      <c r="H260" s="637"/>
      <c r="I260" s="637"/>
      <c r="J260" s="637"/>
    </row>
    <row r="261" spans="1:10" x14ac:dyDescent="0.2">
      <c r="A261" s="626"/>
      <c r="B261" s="637"/>
      <c r="C261" s="637"/>
      <c r="D261" s="637"/>
      <c r="E261" s="637"/>
      <c r="F261" s="637"/>
      <c r="G261" s="637"/>
      <c r="H261" s="637"/>
      <c r="I261" s="637"/>
      <c r="J261" s="637"/>
    </row>
    <row r="262" spans="1:10" x14ac:dyDescent="0.2">
      <c r="A262" s="626"/>
      <c r="B262" s="637"/>
      <c r="C262" s="637"/>
      <c r="D262" s="637"/>
      <c r="E262" s="637"/>
      <c r="F262" s="637"/>
      <c r="G262" s="637"/>
      <c r="H262" s="637"/>
      <c r="I262" s="637"/>
      <c r="J262" s="637"/>
    </row>
    <row r="263" spans="1:10" x14ac:dyDescent="0.2">
      <c r="A263" s="626"/>
      <c r="B263" s="637"/>
      <c r="C263" s="637"/>
      <c r="D263" s="637"/>
      <c r="E263" s="637"/>
      <c r="F263" s="637"/>
      <c r="G263" s="637"/>
      <c r="H263" s="637"/>
      <c r="I263" s="637"/>
      <c r="J263" s="637"/>
    </row>
    <row r="264" spans="1:10" x14ac:dyDescent="0.2">
      <c r="A264" s="626"/>
      <c r="B264" s="637"/>
      <c r="C264" s="637"/>
      <c r="D264" s="637"/>
      <c r="E264" s="637"/>
      <c r="F264" s="637"/>
      <c r="G264" s="637"/>
      <c r="H264" s="637"/>
      <c r="I264" s="637"/>
      <c r="J264" s="637"/>
    </row>
    <row r="265" spans="1:10" x14ac:dyDescent="0.2">
      <c r="A265" s="626"/>
      <c r="B265" s="637"/>
      <c r="C265" s="637"/>
      <c r="D265" s="637"/>
      <c r="E265" s="637"/>
      <c r="F265" s="637"/>
      <c r="G265" s="637"/>
      <c r="H265" s="637"/>
      <c r="I265" s="637"/>
      <c r="J265" s="637"/>
    </row>
    <row r="266" spans="1:10" x14ac:dyDescent="0.2">
      <c r="A266" s="626"/>
      <c r="B266" s="637"/>
      <c r="C266" s="637"/>
      <c r="D266" s="637"/>
      <c r="E266" s="637"/>
      <c r="F266" s="637"/>
      <c r="G266" s="637"/>
      <c r="H266" s="637"/>
      <c r="I266" s="637"/>
      <c r="J266" s="637"/>
    </row>
    <row r="267" spans="1:10" x14ac:dyDescent="0.2">
      <c r="A267" s="626"/>
      <c r="B267" s="637"/>
      <c r="C267" s="637"/>
      <c r="D267" s="637"/>
      <c r="E267" s="637"/>
      <c r="F267" s="637"/>
      <c r="G267" s="637"/>
      <c r="H267" s="637"/>
      <c r="I267" s="637"/>
      <c r="J267" s="637"/>
    </row>
    <row r="268" spans="1:10" x14ac:dyDescent="0.2">
      <c r="A268" s="626"/>
      <c r="B268" s="637"/>
      <c r="C268" s="637"/>
      <c r="D268" s="637"/>
      <c r="E268" s="637"/>
      <c r="F268" s="637"/>
      <c r="G268" s="637"/>
      <c r="H268" s="637"/>
      <c r="I268" s="637"/>
      <c r="J268" s="637"/>
    </row>
    <row r="269" spans="1:10" x14ac:dyDescent="0.2">
      <c r="A269" s="626"/>
      <c r="B269" s="637"/>
      <c r="C269" s="637"/>
      <c r="D269" s="637"/>
      <c r="E269" s="637"/>
      <c r="F269" s="637"/>
      <c r="G269" s="637"/>
      <c r="H269" s="637"/>
      <c r="I269" s="637"/>
      <c r="J269" s="637"/>
    </row>
    <row r="270" spans="1:10" x14ac:dyDescent="0.2">
      <c r="A270" s="626"/>
      <c r="B270" s="637"/>
      <c r="C270" s="637"/>
      <c r="D270" s="637"/>
      <c r="E270" s="637"/>
      <c r="F270" s="637"/>
      <c r="G270" s="637"/>
      <c r="H270" s="637"/>
      <c r="I270" s="637"/>
      <c r="J270" s="637"/>
    </row>
    <row r="271" spans="1:10" x14ac:dyDescent="0.2">
      <c r="A271" s="626"/>
      <c r="B271" s="637"/>
      <c r="C271" s="637"/>
      <c r="D271" s="637"/>
      <c r="E271" s="637"/>
      <c r="F271" s="637"/>
      <c r="G271" s="637"/>
      <c r="H271" s="637"/>
      <c r="I271" s="637"/>
      <c r="J271" s="637"/>
    </row>
    <row r="272" spans="1:10" x14ac:dyDescent="0.2">
      <c r="A272" s="626"/>
      <c r="B272" s="637"/>
      <c r="C272" s="637"/>
      <c r="D272" s="637"/>
      <c r="E272" s="637"/>
      <c r="F272" s="637"/>
      <c r="G272" s="637"/>
      <c r="H272" s="637"/>
      <c r="I272" s="637"/>
      <c r="J272" s="637"/>
    </row>
    <row r="273" spans="1:10" x14ac:dyDescent="0.2">
      <c r="A273" s="626"/>
      <c r="B273" s="637"/>
      <c r="C273" s="637"/>
      <c r="D273" s="637"/>
      <c r="E273" s="637"/>
      <c r="F273" s="637"/>
      <c r="G273" s="637"/>
      <c r="H273" s="637"/>
      <c r="I273" s="637"/>
      <c r="J273" s="637"/>
    </row>
    <row r="274" spans="1:10" x14ac:dyDescent="0.2">
      <c r="A274" s="626"/>
      <c r="B274" s="637"/>
      <c r="C274" s="637"/>
      <c r="D274" s="637"/>
      <c r="E274" s="637"/>
      <c r="F274" s="637"/>
      <c r="G274" s="637"/>
      <c r="H274" s="637"/>
      <c r="I274" s="637"/>
      <c r="J274" s="637"/>
    </row>
    <row r="275" spans="1:10" x14ac:dyDescent="0.2">
      <c r="A275" s="626"/>
      <c r="B275" s="637"/>
      <c r="C275" s="637"/>
      <c r="D275" s="637"/>
      <c r="E275" s="637"/>
      <c r="F275" s="637"/>
      <c r="G275" s="637"/>
      <c r="H275" s="637"/>
      <c r="I275" s="637"/>
      <c r="J275" s="637"/>
    </row>
    <row r="276" spans="1:10" x14ac:dyDescent="0.2">
      <c r="A276" s="626"/>
      <c r="B276" s="637"/>
      <c r="C276" s="637"/>
      <c r="D276" s="637"/>
      <c r="E276" s="637"/>
      <c r="F276" s="637"/>
      <c r="G276" s="637"/>
      <c r="H276" s="637"/>
      <c r="I276" s="637"/>
      <c r="J276" s="637"/>
    </row>
    <row r="277" spans="1:10" x14ac:dyDescent="0.2">
      <c r="A277" s="626"/>
      <c r="B277" s="637"/>
      <c r="C277" s="637"/>
      <c r="D277" s="637"/>
      <c r="E277" s="637"/>
      <c r="F277" s="637"/>
      <c r="G277" s="637"/>
      <c r="H277" s="637"/>
      <c r="I277" s="637"/>
      <c r="J277" s="637"/>
    </row>
    <row r="278" spans="1:10" x14ac:dyDescent="0.2">
      <c r="A278" s="626"/>
      <c r="B278" s="637"/>
      <c r="C278" s="637"/>
      <c r="D278" s="637"/>
      <c r="E278" s="637"/>
      <c r="F278" s="637"/>
      <c r="G278" s="637"/>
      <c r="H278" s="637"/>
      <c r="I278" s="637"/>
      <c r="J278" s="637"/>
    </row>
    <row r="279" spans="1:10" x14ac:dyDescent="0.2">
      <c r="A279" s="626"/>
      <c r="B279" s="637"/>
      <c r="C279" s="637"/>
      <c r="D279" s="637"/>
      <c r="E279" s="637"/>
      <c r="F279" s="637"/>
      <c r="G279" s="637"/>
      <c r="H279" s="637"/>
      <c r="I279" s="637"/>
      <c r="J279" s="637"/>
    </row>
    <row r="280" spans="1:10" x14ac:dyDescent="0.2">
      <c r="A280" s="626"/>
      <c r="B280" s="637"/>
      <c r="C280" s="637"/>
      <c r="D280" s="637"/>
      <c r="E280" s="637"/>
      <c r="F280" s="637"/>
      <c r="G280" s="637"/>
      <c r="H280" s="637"/>
      <c r="I280" s="637"/>
      <c r="J280" s="637"/>
    </row>
    <row r="281" spans="1:10" x14ac:dyDescent="0.2">
      <c r="A281" s="626"/>
      <c r="B281" s="637"/>
      <c r="C281" s="637"/>
      <c r="D281" s="637"/>
      <c r="E281" s="637"/>
      <c r="F281" s="637"/>
      <c r="G281" s="637"/>
      <c r="H281" s="637"/>
      <c r="I281" s="637"/>
      <c r="J281" s="637"/>
    </row>
    <row r="282" spans="1:10" x14ac:dyDescent="0.2">
      <c r="A282" s="626"/>
      <c r="B282" s="637"/>
      <c r="C282" s="637"/>
      <c r="D282" s="637"/>
      <c r="E282" s="637"/>
      <c r="F282" s="637"/>
      <c r="G282" s="637"/>
      <c r="H282" s="637"/>
      <c r="I282" s="637"/>
      <c r="J282" s="637"/>
    </row>
    <row r="283" spans="1:10" x14ac:dyDescent="0.2">
      <c r="A283" s="626"/>
      <c r="B283" s="637"/>
      <c r="C283" s="637"/>
      <c r="D283" s="637"/>
      <c r="E283" s="637"/>
      <c r="F283" s="637"/>
      <c r="G283" s="637"/>
      <c r="H283" s="637"/>
      <c r="I283" s="637"/>
      <c r="J283" s="637"/>
    </row>
    <row r="284" spans="1:10" x14ac:dyDescent="0.2">
      <c r="A284" s="626"/>
      <c r="B284" s="637"/>
      <c r="C284" s="637"/>
      <c r="D284" s="637"/>
      <c r="E284" s="637"/>
      <c r="F284" s="637"/>
      <c r="G284" s="637"/>
      <c r="H284" s="637"/>
      <c r="I284" s="637"/>
      <c r="J284" s="637"/>
    </row>
    <row r="285" spans="1:10" x14ac:dyDescent="0.2">
      <c r="A285" s="626"/>
      <c r="B285" s="637"/>
      <c r="C285" s="637"/>
      <c r="D285" s="637"/>
      <c r="E285" s="637"/>
      <c r="F285" s="637"/>
      <c r="G285" s="637"/>
      <c r="H285" s="637"/>
      <c r="I285" s="637"/>
      <c r="J285" s="637"/>
    </row>
    <row r="286" spans="1:10" x14ac:dyDescent="0.2">
      <c r="A286" s="626"/>
      <c r="B286" s="637"/>
      <c r="C286" s="637"/>
      <c r="D286" s="637"/>
      <c r="E286" s="637"/>
      <c r="F286" s="637"/>
      <c r="G286" s="637"/>
      <c r="H286" s="637"/>
      <c r="I286" s="637"/>
      <c r="J286" s="637"/>
    </row>
    <row r="287" spans="1:10" x14ac:dyDescent="0.2">
      <c r="A287" s="626"/>
      <c r="B287" s="637"/>
      <c r="C287" s="637"/>
      <c r="D287" s="637"/>
      <c r="E287" s="637"/>
      <c r="F287" s="637"/>
      <c r="G287" s="637"/>
      <c r="H287" s="637"/>
      <c r="I287" s="637"/>
      <c r="J287" s="637"/>
    </row>
    <row r="288" spans="1:10" x14ac:dyDescent="0.2">
      <c r="A288" s="626"/>
      <c r="B288" s="637"/>
      <c r="C288" s="637"/>
      <c r="D288" s="637"/>
      <c r="E288" s="637"/>
      <c r="F288" s="637"/>
      <c r="G288" s="637"/>
      <c r="H288" s="637"/>
      <c r="I288" s="637"/>
      <c r="J288" s="637"/>
    </row>
    <row r="289" spans="1:10" x14ac:dyDescent="0.2">
      <c r="A289" s="626"/>
      <c r="B289" s="637"/>
      <c r="C289" s="637"/>
      <c r="D289" s="637"/>
      <c r="E289" s="637"/>
      <c r="F289" s="637"/>
      <c r="G289" s="637"/>
      <c r="H289" s="637"/>
      <c r="I289" s="637"/>
      <c r="J289" s="637"/>
    </row>
    <row r="290" spans="1:10" x14ac:dyDescent="0.2">
      <c r="A290" s="626"/>
      <c r="B290" s="637"/>
      <c r="C290" s="637"/>
      <c r="D290" s="637"/>
      <c r="E290" s="637"/>
      <c r="F290" s="637"/>
      <c r="G290" s="637"/>
      <c r="H290" s="637"/>
      <c r="I290" s="637"/>
      <c r="J290" s="637"/>
    </row>
    <row r="291" spans="1:10" x14ac:dyDescent="0.2">
      <c r="A291" s="626"/>
      <c r="B291" s="637"/>
      <c r="C291" s="637"/>
      <c r="D291" s="637"/>
      <c r="E291" s="637"/>
      <c r="F291" s="637"/>
      <c r="G291" s="637"/>
      <c r="H291" s="637"/>
      <c r="I291" s="637"/>
      <c r="J291" s="637"/>
    </row>
    <row r="292" spans="1:10" x14ac:dyDescent="0.2">
      <c r="A292" s="626"/>
      <c r="B292" s="637"/>
      <c r="C292" s="637"/>
      <c r="D292" s="637"/>
      <c r="E292" s="637"/>
      <c r="F292" s="637"/>
      <c r="G292" s="637"/>
      <c r="H292" s="637"/>
      <c r="I292" s="637"/>
      <c r="J292" s="637"/>
    </row>
    <row r="293" spans="1:10" x14ac:dyDescent="0.2">
      <c r="A293" s="626"/>
      <c r="B293" s="637"/>
      <c r="C293" s="637"/>
      <c r="D293" s="637"/>
      <c r="E293" s="637"/>
      <c r="F293" s="637"/>
      <c r="G293" s="637"/>
      <c r="H293" s="637"/>
      <c r="I293" s="637"/>
      <c r="J293" s="637"/>
    </row>
    <row r="294" spans="1:10" x14ac:dyDescent="0.2">
      <c r="A294" s="626"/>
      <c r="B294" s="637"/>
      <c r="C294" s="637"/>
      <c r="D294" s="637"/>
      <c r="E294" s="637"/>
      <c r="F294" s="637"/>
      <c r="G294" s="637"/>
      <c r="H294" s="637"/>
      <c r="I294" s="637"/>
      <c r="J294" s="637"/>
    </row>
    <row r="295" spans="1:10" x14ac:dyDescent="0.2">
      <c r="A295" s="626"/>
      <c r="B295" s="637"/>
      <c r="C295" s="637"/>
      <c r="D295" s="637"/>
      <c r="E295" s="637"/>
      <c r="F295" s="637"/>
      <c r="G295" s="637"/>
      <c r="H295" s="637"/>
      <c r="I295" s="637"/>
      <c r="J295" s="637"/>
    </row>
    <row r="296" spans="1:10" x14ac:dyDescent="0.2">
      <c r="A296" s="626"/>
      <c r="B296" s="637"/>
      <c r="C296" s="637"/>
      <c r="D296" s="637"/>
      <c r="E296" s="637"/>
      <c r="F296" s="637"/>
      <c r="G296" s="637"/>
      <c r="H296" s="637"/>
      <c r="I296" s="637"/>
      <c r="J296" s="637"/>
    </row>
    <row r="297" spans="1:10" x14ac:dyDescent="0.2">
      <c r="A297" s="626"/>
      <c r="B297" s="637"/>
      <c r="C297" s="637"/>
      <c r="D297" s="637"/>
      <c r="E297" s="637"/>
      <c r="F297" s="637"/>
      <c r="G297" s="637"/>
      <c r="H297" s="637"/>
      <c r="I297" s="637"/>
      <c r="J297" s="637"/>
    </row>
    <row r="298" spans="1:10" x14ac:dyDescent="0.2">
      <c r="A298" s="626"/>
      <c r="B298" s="637"/>
      <c r="C298" s="637"/>
      <c r="D298" s="637"/>
      <c r="E298" s="637"/>
      <c r="F298" s="637"/>
      <c r="G298" s="637"/>
      <c r="H298" s="637"/>
      <c r="I298" s="637"/>
      <c r="J298" s="637"/>
    </row>
    <row r="299" spans="1:10" x14ac:dyDescent="0.2">
      <c r="A299" s="626"/>
      <c r="B299" s="637"/>
      <c r="C299" s="637"/>
      <c r="D299" s="637"/>
      <c r="E299" s="637"/>
      <c r="F299" s="637"/>
      <c r="G299" s="637"/>
      <c r="H299" s="637"/>
      <c r="I299" s="637"/>
      <c r="J299" s="637"/>
    </row>
    <row r="300" spans="1:10" x14ac:dyDescent="0.2">
      <c r="A300" s="626"/>
      <c r="B300" s="637"/>
      <c r="C300" s="637"/>
      <c r="D300" s="637"/>
      <c r="E300" s="637"/>
      <c r="F300" s="637"/>
      <c r="G300" s="637"/>
      <c r="H300" s="637"/>
      <c r="I300" s="637"/>
      <c r="J300" s="637"/>
    </row>
    <row r="301" spans="1:10" x14ac:dyDescent="0.2">
      <c r="A301" s="626"/>
      <c r="B301" s="637"/>
      <c r="C301" s="637"/>
      <c r="D301" s="637"/>
      <c r="E301" s="637"/>
      <c r="F301" s="637"/>
      <c r="G301" s="637"/>
      <c r="H301" s="637"/>
      <c r="I301" s="637"/>
      <c r="J301" s="637"/>
    </row>
    <row r="302" spans="1:10" x14ac:dyDescent="0.2">
      <c r="A302" s="626"/>
      <c r="B302" s="637"/>
      <c r="C302" s="637"/>
      <c r="D302" s="637"/>
      <c r="E302" s="637"/>
      <c r="F302" s="637"/>
      <c r="G302" s="637"/>
      <c r="H302" s="637"/>
      <c r="I302" s="637"/>
      <c r="J302" s="637"/>
    </row>
    <row r="303" spans="1:10" x14ac:dyDescent="0.2">
      <c r="A303" s="626"/>
      <c r="B303" s="637"/>
      <c r="C303" s="637"/>
      <c r="D303" s="637"/>
      <c r="E303" s="637"/>
      <c r="F303" s="637"/>
      <c r="G303" s="637"/>
      <c r="H303" s="637"/>
      <c r="I303" s="637"/>
      <c r="J303" s="637"/>
    </row>
    <row r="304" spans="1:10" x14ac:dyDescent="0.2">
      <c r="A304" s="626"/>
      <c r="B304" s="637"/>
      <c r="C304" s="637"/>
      <c r="D304" s="637"/>
      <c r="E304" s="637"/>
      <c r="F304" s="637"/>
      <c r="G304" s="637"/>
      <c r="H304" s="637"/>
      <c r="I304" s="637"/>
      <c r="J304" s="637"/>
    </row>
    <row r="305" spans="1:10" x14ac:dyDescent="0.2">
      <c r="A305" s="626"/>
      <c r="B305" s="637"/>
      <c r="C305" s="637"/>
      <c r="D305" s="637"/>
      <c r="E305" s="637"/>
      <c r="F305" s="637"/>
      <c r="G305" s="637"/>
      <c r="H305" s="637"/>
      <c r="I305" s="637"/>
      <c r="J305" s="637"/>
    </row>
    <row r="306" spans="1:10" x14ac:dyDescent="0.2">
      <c r="A306" s="626"/>
      <c r="B306" s="637"/>
      <c r="C306" s="637"/>
      <c r="D306" s="637"/>
      <c r="E306" s="637"/>
      <c r="F306" s="637"/>
      <c r="G306" s="637"/>
      <c r="H306" s="637"/>
      <c r="I306" s="637"/>
      <c r="J306" s="637"/>
    </row>
    <row r="307" spans="1:10" x14ac:dyDescent="0.2">
      <c r="A307" s="626"/>
      <c r="B307" s="637"/>
      <c r="C307" s="637"/>
      <c r="D307" s="637"/>
      <c r="E307" s="637"/>
      <c r="F307" s="637"/>
      <c r="G307" s="637"/>
      <c r="H307" s="637"/>
      <c r="I307" s="637"/>
      <c r="J307" s="637"/>
    </row>
    <row r="308" spans="1:10" x14ac:dyDescent="0.2">
      <c r="A308" s="626"/>
      <c r="B308" s="637"/>
      <c r="C308" s="637"/>
      <c r="D308" s="637"/>
      <c r="E308" s="637"/>
      <c r="F308" s="637"/>
      <c r="G308" s="637"/>
      <c r="H308" s="637"/>
      <c r="I308" s="637"/>
      <c r="J308" s="637"/>
    </row>
    <row r="309" spans="1:10" x14ac:dyDescent="0.2">
      <c r="A309" s="626"/>
      <c r="B309" s="637"/>
      <c r="C309" s="637"/>
      <c r="D309" s="637"/>
      <c r="E309" s="637"/>
      <c r="F309" s="637"/>
      <c r="G309" s="637"/>
      <c r="H309" s="637"/>
      <c r="I309" s="637"/>
      <c r="J309" s="637"/>
    </row>
    <row r="310" spans="1:10" x14ac:dyDescent="0.2">
      <c r="A310" s="626"/>
      <c r="B310" s="637"/>
      <c r="C310" s="637"/>
      <c r="D310" s="637"/>
      <c r="E310" s="637"/>
      <c r="F310" s="637"/>
      <c r="G310" s="637"/>
      <c r="H310" s="637"/>
      <c r="I310" s="637"/>
      <c r="J310" s="637"/>
    </row>
    <row r="311" spans="1:10" x14ac:dyDescent="0.2">
      <c r="A311" s="626"/>
      <c r="B311" s="637"/>
      <c r="C311" s="637"/>
      <c r="D311" s="637"/>
      <c r="E311" s="637"/>
      <c r="F311" s="637"/>
      <c r="G311" s="637"/>
      <c r="H311" s="637"/>
      <c r="I311" s="637"/>
      <c r="J311" s="637"/>
    </row>
    <row r="312" spans="1:10" x14ac:dyDescent="0.2">
      <c r="A312" s="626"/>
      <c r="B312" s="637"/>
      <c r="C312" s="637"/>
      <c r="D312" s="637"/>
      <c r="E312" s="637"/>
      <c r="F312" s="637"/>
      <c r="G312" s="637"/>
      <c r="H312" s="637"/>
      <c r="I312" s="637"/>
      <c r="J312" s="637"/>
    </row>
    <row r="313" spans="1:10" x14ac:dyDescent="0.2">
      <c r="A313" s="626"/>
      <c r="B313" s="637"/>
      <c r="C313" s="637"/>
      <c r="D313" s="637"/>
      <c r="E313" s="637"/>
      <c r="F313" s="637"/>
      <c r="G313" s="637"/>
      <c r="H313" s="637"/>
      <c r="I313" s="637"/>
      <c r="J313" s="637"/>
    </row>
    <row r="314" spans="1:10" x14ac:dyDescent="0.2">
      <c r="A314" s="626"/>
      <c r="B314" s="637"/>
      <c r="C314" s="637"/>
      <c r="D314" s="637"/>
      <c r="E314" s="637"/>
      <c r="F314" s="637"/>
      <c r="G314" s="637"/>
      <c r="H314" s="637"/>
      <c r="I314" s="637"/>
      <c r="J314" s="637"/>
    </row>
    <row r="315" spans="1:10" x14ac:dyDescent="0.2">
      <c r="A315" s="626"/>
      <c r="B315" s="637"/>
      <c r="C315" s="637"/>
      <c r="D315" s="637"/>
      <c r="E315" s="637"/>
      <c r="F315" s="637"/>
      <c r="G315" s="637"/>
      <c r="H315" s="637"/>
      <c r="I315" s="637"/>
      <c r="J315" s="637"/>
    </row>
    <row r="316" spans="1:10" x14ac:dyDescent="0.2">
      <c r="A316" s="626"/>
      <c r="B316" s="637"/>
      <c r="C316" s="637"/>
      <c r="D316" s="637"/>
      <c r="E316" s="637"/>
      <c r="F316" s="637"/>
      <c r="G316" s="637"/>
      <c r="H316" s="637"/>
      <c r="I316" s="637"/>
      <c r="J316" s="637"/>
    </row>
    <row r="317" spans="1:10" x14ac:dyDescent="0.2">
      <c r="A317" s="626"/>
      <c r="B317" s="637"/>
      <c r="C317" s="637"/>
      <c r="D317" s="637"/>
      <c r="E317" s="637"/>
      <c r="F317" s="637"/>
      <c r="G317" s="637"/>
      <c r="H317" s="637"/>
      <c r="I317" s="637"/>
      <c r="J317" s="637"/>
    </row>
    <row r="318" spans="1:10" x14ac:dyDescent="0.2">
      <c r="A318" s="626"/>
      <c r="B318" s="637"/>
      <c r="C318" s="637"/>
      <c r="D318" s="637"/>
      <c r="E318" s="637"/>
      <c r="F318" s="637"/>
      <c r="G318" s="637"/>
      <c r="H318" s="637"/>
      <c r="I318" s="637"/>
      <c r="J318" s="637"/>
    </row>
    <row r="319" spans="1:10" x14ac:dyDescent="0.2">
      <c r="A319" s="626"/>
      <c r="B319" s="637"/>
      <c r="C319" s="637"/>
      <c r="D319" s="637"/>
      <c r="E319" s="637"/>
      <c r="F319" s="637"/>
      <c r="G319" s="637"/>
      <c r="H319" s="637"/>
      <c r="I319" s="637"/>
      <c r="J319" s="637"/>
    </row>
    <row r="320" spans="1:10" x14ac:dyDescent="0.2">
      <c r="A320" s="626"/>
      <c r="B320" s="637"/>
      <c r="C320" s="637"/>
      <c r="D320" s="637"/>
      <c r="E320" s="637"/>
      <c r="F320" s="637"/>
      <c r="G320" s="637"/>
      <c r="H320" s="637"/>
      <c r="I320" s="637"/>
      <c r="J320" s="637"/>
    </row>
    <row r="321" spans="1:10" x14ac:dyDescent="0.2">
      <c r="A321" s="626"/>
      <c r="B321" s="637"/>
      <c r="C321" s="637"/>
      <c r="D321" s="637"/>
      <c r="E321" s="637"/>
      <c r="F321" s="637"/>
      <c r="G321" s="637"/>
      <c r="H321" s="637"/>
      <c r="I321" s="637"/>
      <c r="J321" s="637"/>
    </row>
    <row r="322" spans="1:10" x14ac:dyDescent="0.2">
      <c r="A322" s="626"/>
      <c r="B322" s="637"/>
      <c r="C322" s="637"/>
      <c r="D322" s="637"/>
      <c r="E322" s="637"/>
      <c r="F322" s="637"/>
      <c r="G322" s="637"/>
      <c r="H322" s="637"/>
      <c r="I322" s="637"/>
      <c r="J322" s="637"/>
    </row>
    <row r="323" spans="1:10" x14ac:dyDescent="0.2">
      <c r="A323" s="626"/>
      <c r="B323" s="637"/>
      <c r="C323" s="637"/>
      <c r="D323" s="637"/>
      <c r="E323" s="637"/>
      <c r="F323" s="637"/>
      <c r="G323" s="637"/>
      <c r="H323" s="637"/>
      <c r="I323" s="637"/>
      <c r="J323" s="637"/>
    </row>
    <row r="324" spans="1:10" x14ac:dyDescent="0.2">
      <c r="A324" s="626"/>
      <c r="B324" s="637"/>
      <c r="C324" s="637"/>
      <c r="D324" s="637"/>
      <c r="E324" s="637"/>
      <c r="F324" s="637"/>
      <c r="G324" s="637"/>
      <c r="H324" s="637"/>
      <c r="I324" s="637"/>
      <c r="J324" s="637"/>
    </row>
    <row r="325" spans="1:10" x14ac:dyDescent="0.2">
      <c r="A325" s="626"/>
      <c r="B325" s="637"/>
      <c r="C325" s="637"/>
      <c r="D325" s="637"/>
      <c r="E325" s="637"/>
      <c r="F325" s="637"/>
      <c r="G325" s="637"/>
      <c r="H325" s="637"/>
      <c r="I325" s="637"/>
      <c r="J325" s="637"/>
    </row>
    <row r="326" spans="1:10" x14ac:dyDescent="0.2">
      <c r="A326" s="626"/>
      <c r="B326" s="637"/>
      <c r="C326" s="637"/>
      <c r="D326" s="637"/>
      <c r="E326" s="637"/>
      <c r="F326" s="637"/>
      <c r="G326" s="637"/>
      <c r="H326" s="637"/>
      <c r="I326" s="637"/>
      <c r="J326" s="637"/>
    </row>
    <row r="327" spans="1:10" x14ac:dyDescent="0.2">
      <c r="A327" s="626"/>
      <c r="B327" s="637"/>
      <c r="C327" s="637"/>
      <c r="D327" s="637"/>
      <c r="E327" s="637"/>
      <c r="F327" s="637"/>
      <c r="G327" s="637"/>
      <c r="H327" s="637"/>
      <c r="I327" s="637"/>
      <c r="J327" s="637"/>
    </row>
    <row r="328" spans="1:10" x14ac:dyDescent="0.2">
      <c r="A328" s="626"/>
      <c r="B328" s="637"/>
      <c r="C328" s="637"/>
      <c r="D328" s="637"/>
      <c r="E328" s="637"/>
      <c r="F328" s="637"/>
      <c r="G328" s="637"/>
      <c r="H328" s="637"/>
      <c r="I328" s="637"/>
      <c r="J328" s="637"/>
    </row>
    <row r="329" spans="1:10" x14ac:dyDescent="0.2">
      <c r="A329" s="626"/>
      <c r="B329" s="637"/>
      <c r="C329" s="637"/>
      <c r="D329" s="637"/>
      <c r="E329" s="637"/>
      <c r="F329" s="637"/>
      <c r="G329" s="637"/>
      <c r="H329" s="637"/>
      <c r="I329" s="637"/>
      <c r="J329" s="637"/>
    </row>
    <row r="330" spans="1:10" x14ac:dyDescent="0.2">
      <c r="A330" s="626"/>
      <c r="B330" s="637"/>
      <c r="C330" s="637"/>
      <c r="D330" s="637"/>
      <c r="E330" s="637"/>
      <c r="F330" s="637"/>
      <c r="G330" s="637"/>
      <c r="H330" s="637"/>
      <c r="I330" s="637"/>
      <c r="J330" s="637"/>
    </row>
    <row r="331" spans="1:10" x14ac:dyDescent="0.2">
      <c r="A331" s="626"/>
      <c r="B331" s="637"/>
      <c r="C331" s="637"/>
      <c r="D331" s="637"/>
      <c r="E331" s="637"/>
      <c r="F331" s="637"/>
      <c r="G331" s="637"/>
      <c r="H331" s="637"/>
      <c r="I331" s="637"/>
      <c r="J331" s="637"/>
    </row>
    <row r="332" spans="1:10" x14ac:dyDescent="0.2">
      <c r="A332" s="626"/>
      <c r="B332" s="637"/>
      <c r="C332" s="637"/>
      <c r="D332" s="637"/>
      <c r="E332" s="637"/>
      <c r="F332" s="637"/>
      <c r="G332" s="637"/>
      <c r="H332" s="637"/>
      <c r="I332" s="637"/>
      <c r="J332" s="637"/>
    </row>
    <row r="333" spans="1:10" x14ac:dyDescent="0.2">
      <c r="A333" s="626"/>
      <c r="B333" s="637"/>
      <c r="C333" s="637"/>
      <c r="D333" s="637"/>
      <c r="E333" s="637"/>
      <c r="F333" s="637"/>
      <c r="G333" s="637"/>
      <c r="H333" s="637"/>
      <c r="I333" s="637"/>
      <c r="J333" s="637"/>
    </row>
    <row r="334" spans="1:10" x14ac:dyDescent="0.2">
      <c r="A334" s="626"/>
      <c r="B334" s="637"/>
      <c r="C334" s="637"/>
      <c r="D334" s="637"/>
      <c r="E334" s="637"/>
      <c r="F334" s="637"/>
      <c r="G334" s="637"/>
      <c r="H334" s="637"/>
      <c r="I334" s="637"/>
      <c r="J334" s="637"/>
    </row>
    <row r="335" spans="1:10" x14ac:dyDescent="0.2">
      <c r="A335" s="626"/>
      <c r="B335" s="637"/>
      <c r="C335" s="637"/>
      <c r="D335" s="637"/>
      <c r="E335" s="637"/>
      <c r="F335" s="637"/>
      <c r="G335" s="637"/>
      <c r="H335" s="637"/>
      <c r="I335" s="637"/>
      <c r="J335" s="637"/>
    </row>
    <row r="336" spans="1:10" x14ac:dyDescent="0.2">
      <c r="A336" s="626"/>
      <c r="B336" s="637"/>
      <c r="C336" s="637"/>
      <c r="D336" s="637"/>
      <c r="E336" s="637"/>
      <c r="F336" s="637"/>
      <c r="G336" s="637"/>
      <c r="H336" s="637"/>
      <c r="I336" s="637"/>
      <c r="J336" s="637"/>
    </row>
    <row r="337" spans="1:10" x14ac:dyDescent="0.2">
      <c r="A337" s="626"/>
      <c r="B337" s="637"/>
      <c r="C337" s="637"/>
      <c r="D337" s="637"/>
      <c r="E337" s="637"/>
      <c r="F337" s="637"/>
      <c r="G337" s="637"/>
      <c r="H337" s="637"/>
      <c r="I337" s="637"/>
      <c r="J337" s="637"/>
    </row>
    <row r="338" spans="1:10" x14ac:dyDescent="0.2">
      <c r="A338" s="626"/>
      <c r="B338" s="637"/>
      <c r="C338" s="637"/>
      <c r="D338" s="637"/>
      <c r="E338" s="637"/>
      <c r="F338" s="637"/>
      <c r="G338" s="637"/>
      <c r="H338" s="637"/>
      <c r="I338" s="637"/>
      <c r="J338" s="637"/>
    </row>
    <row r="339" spans="1:10" x14ac:dyDescent="0.2">
      <c r="A339" s="626"/>
      <c r="B339" s="637"/>
      <c r="C339" s="637"/>
      <c r="D339" s="637"/>
      <c r="E339" s="637"/>
      <c r="F339" s="637"/>
      <c r="G339" s="637"/>
      <c r="H339" s="637"/>
      <c r="I339" s="637"/>
      <c r="J339" s="637"/>
    </row>
    <row r="340" spans="1:10" x14ac:dyDescent="0.2">
      <c r="A340" s="626"/>
      <c r="B340" s="637"/>
      <c r="C340" s="637"/>
      <c r="D340" s="637"/>
      <c r="E340" s="637"/>
      <c r="F340" s="637"/>
      <c r="G340" s="637"/>
      <c r="H340" s="637"/>
      <c r="I340" s="637"/>
      <c r="J340" s="637"/>
    </row>
    <row r="341" spans="1:10" x14ac:dyDescent="0.2">
      <c r="A341" s="626"/>
      <c r="B341" s="637"/>
      <c r="C341" s="637"/>
      <c r="D341" s="637"/>
      <c r="E341" s="637"/>
      <c r="F341" s="637"/>
      <c r="G341" s="637"/>
      <c r="H341" s="637"/>
      <c r="I341" s="637"/>
      <c r="J341" s="637"/>
    </row>
    <row r="342" spans="1:10" x14ac:dyDescent="0.2">
      <c r="A342" s="626"/>
      <c r="B342" s="637"/>
      <c r="C342" s="637"/>
      <c r="D342" s="637"/>
      <c r="E342" s="637"/>
      <c r="F342" s="637"/>
      <c r="G342" s="637"/>
      <c r="H342" s="637"/>
      <c r="I342" s="637"/>
      <c r="J342" s="637"/>
    </row>
    <row r="343" spans="1:10" x14ac:dyDescent="0.2">
      <c r="A343" s="626"/>
      <c r="B343" s="637"/>
      <c r="C343" s="637"/>
      <c r="D343" s="637"/>
      <c r="E343" s="637"/>
      <c r="F343" s="637"/>
      <c r="G343" s="637"/>
      <c r="H343" s="637"/>
      <c r="I343" s="637"/>
      <c r="J343" s="637"/>
    </row>
    <row r="344" spans="1:10" x14ac:dyDescent="0.2">
      <c r="A344" s="626"/>
      <c r="B344" s="637"/>
      <c r="C344" s="637"/>
      <c r="D344" s="637"/>
      <c r="E344" s="637"/>
      <c r="F344" s="637"/>
      <c r="G344" s="637"/>
      <c r="H344" s="637"/>
      <c r="I344" s="637"/>
      <c r="J344" s="637"/>
    </row>
    <row r="345" spans="1:10" x14ac:dyDescent="0.2">
      <c r="A345" s="626"/>
      <c r="B345" s="637"/>
      <c r="C345" s="637"/>
      <c r="D345" s="637"/>
      <c r="E345" s="637"/>
      <c r="F345" s="637"/>
      <c r="G345" s="637"/>
      <c r="H345" s="637"/>
      <c r="I345" s="637"/>
      <c r="J345" s="637"/>
    </row>
    <row r="346" spans="1:10" x14ac:dyDescent="0.2">
      <c r="A346" s="626"/>
      <c r="B346" s="637"/>
      <c r="C346" s="637"/>
      <c r="D346" s="637"/>
      <c r="E346" s="637"/>
      <c r="F346" s="637"/>
      <c r="G346" s="637"/>
      <c r="H346" s="637"/>
      <c r="I346" s="637"/>
      <c r="J346" s="637"/>
    </row>
    <row r="347" spans="1:10" x14ac:dyDescent="0.2">
      <c r="A347" s="626"/>
      <c r="B347" s="637"/>
      <c r="C347" s="637"/>
      <c r="D347" s="637"/>
      <c r="E347" s="637"/>
      <c r="F347" s="637"/>
      <c r="G347" s="637"/>
      <c r="H347" s="637"/>
      <c r="I347" s="637"/>
      <c r="J347" s="637"/>
    </row>
    <row r="348" spans="1:10" x14ac:dyDescent="0.2">
      <c r="A348" s="626"/>
      <c r="B348" s="637"/>
      <c r="C348" s="637"/>
      <c r="D348" s="637"/>
      <c r="E348" s="637"/>
      <c r="F348" s="637"/>
      <c r="G348" s="637"/>
      <c r="H348" s="637"/>
      <c r="I348" s="637"/>
      <c r="J348" s="637"/>
    </row>
    <row r="349" spans="1:10" x14ac:dyDescent="0.2">
      <c r="A349" s="626"/>
      <c r="B349" s="637"/>
      <c r="C349" s="637"/>
      <c r="D349" s="637"/>
      <c r="E349" s="637"/>
      <c r="F349" s="637"/>
      <c r="G349" s="637"/>
      <c r="H349" s="637"/>
      <c r="I349" s="637"/>
      <c r="J349" s="637"/>
    </row>
    <row r="350" spans="1:10" x14ac:dyDescent="0.2">
      <c r="A350" s="626"/>
      <c r="B350" s="637"/>
      <c r="C350" s="637"/>
      <c r="D350" s="637"/>
      <c r="E350" s="637"/>
      <c r="F350" s="637"/>
      <c r="G350" s="637"/>
      <c r="H350" s="637"/>
      <c r="I350" s="637"/>
      <c r="J350" s="637"/>
    </row>
    <row r="351" spans="1:10" x14ac:dyDescent="0.2">
      <c r="A351" s="626"/>
      <c r="B351" s="637"/>
      <c r="C351" s="637"/>
      <c r="D351" s="637"/>
      <c r="E351" s="637"/>
      <c r="F351" s="637"/>
      <c r="G351" s="637"/>
      <c r="H351" s="637"/>
      <c r="I351" s="637"/>
      <c r="J351" s="637"/>
    </row>
    <row r="352" spans="1:10" x14ac:dyDescent="0.2">
      <c r="A352" s="626"/>
      <c r="B352" s="637"/>
      <c r="C352" s="637"/>
      <c r="D352" s="637"/>
      <c r="E352" s="637"/>
      <c r="F352" s="637"/>
      <c r="G352" s="637"/>
      <c r="H352" s="637"/>
      <c r="I352" s="637"/>
      <c r="J352" s="637"/>
    </row>
    <row r="353" spans="1:10" x14ac:dyDescent="0.2">
      <c r="A353" s="626"/>
      <c r="B353" s="637"/>
      <c r="C353" s="637"/>
      <c r="D353" s="637"/>
      <c r="E353" s="637"/>
      <c r="F353" s="637"/>
      <c r="G353" s="637"/>
      <c r="H353" s="637"/>
      <c r="I353" s="637"/>
      <c r="J353" s="637"/>
    </row>
    <row r="354" spans="1:10" x14ac:dyDescent="0.2">
      <c r="A354" s="626"/>
      <c r="B354" s="637"/>
      <c r="C354" s="637"/>
      <c r="D354" s="637"/>
      <c r="E354" s="637"/>
      <c r="F354" s="637"/>
      <c r="G354" s="637"/>
      <c r="H354" s="637"/>
      <c r="I354" s="637"/>
      <c r="J354" s="637"/>
    </row>
    <row r="355" spans="1:10" x14ac:dyDescent="0.2">
      <c r="A355" s="626"/>
      <c r="B355" s="637"/>
      <c r="C355" s="637"/>
      <c r="D355" s="637"/>
      <c r="E355" s="637"/>
      <c r="F355" s="637"/>
      <c r="G355" s="637"/>
      <c r="H355" s="637"/>
      <c r="I355" s="637"/>
      <c r="J355" s="637"/>
    </row>
    <row r="356" spans="1:10" x14ac:dyDescent="0.2">
      <c r="A356" s="626"/>
      <c r="B356" s="637"/>
      <c r="C356" s="637"/>
      <c r="D356" s="637"/>
      <c r="E356" s="637"/>
      <c r="F356" s="637"/>
      <c r="G356" s="637"/>
      <c r="H356" s="637"/>
      <c r="I356" s="637"/>
      <c r="J356" s="637"/>
    </row>
    <row r="357" spans="1:10" x14ac:dyDescent="0.2">
      <c r="A357" s="626"/>
      <c r="B357" s="637"/>
      <c r="C357" s="637"/>
      <c r="D357" s="637"/>
      <c r="E357" s="637"/>
      <c r="F357" s="637"/>
      <c r="G357" s="637"/>
      <c r="H357" s="637"/>
      <c r="I357" s="637"/>
      <c r="J357" s="637"/>
    </row>
    <row r="358" spans="1:10" x14ac:dyDescent="0.2">
      <c r="A358" s="626"/>
      <c r="B358" s="637"/>
      <c r="C358" s="637"/>
      <c r="D358" s="637"/>
      <c r="E358" s="637"/>
      <c r="F358" s="637"/>
      <c r="G358" s="637"/>
      <c r="H358" s="637"/>
      <c r="I358" s="637"/>
      <c r="J358" s="637"/>
    </row>
    <row r="359" spans="1:10" x14ac:dyDescent="0.2">
      <c r="A359" s="626"/>
      <c r="B359" s="637"/>
      <c r="C359" s="637"/>
      <c r="D359" s="637"/>
      <c r="E359" s="637"/>
      <c r="F359" s="637"/>
      <c r="G359" s="637"/>
      <c r="H359" s="637"/>
      <c r="I359" s="637"/>
      <c r="J359" s="637"/>
    </row>
    <row r="360" spans="1:10" x14ac:dyDescent="0.2">
      <c r="A360" s="626"/>
      <c r="B360" s="637"/>
      <c r="C360" s="637"/>
      <c r="D360" s="637"/>
      <c r="E360" s="637"/>
      <c r="F360" s="637"/>
      <c r="G360" s="637"/>
      <c r="H360" s="637"/>
      <c r="I360" s="637"/>
      <c r="J360" s="637"/>
    </row>
    <row r="361" spans="1:10" x14ac:dyDescent="0.2">
      <c r="A361" s="626"/>
      <c r="B361" s="637"/>
      <c r="C361" s="637"/>
      <c r="D361" s="637"/>
      <c r="E361" s="637"/>
      <c r="F361" s="637"/>
      <c r="G361" s="637"/>
      <c r="H361" s="637"/>
      <c r="I361" s="637"/>
      <c r="J361" s="637"/>
    </row>
    <row r="362" spans="1:10" x14ac:dyDescent="0.2">
      <c r="A362" s="626"/>
      <c r="B362" s="637"/>
      <c r="C362" s="637"/>
      <c r="D362" s="637"/>
      <c r="E362" s="637"/>
      <c r="F362" s="637"/>
      <c r="G362" s="637"/>
      <c r="H362" s="637"/>
      <c r="I362" s="637"/>
      <c r="J362" s="637"/>
    </row>
    <row r="363" spans="1:10" x14ac:dyDescent="0.2">
      <c r="A363" s="626"/>
      <c r="B363" s="637"/>
      <c r="C363" s="637"/>
      <c r="D363" s="637"/>
      <c r="E363" s="637"/>
      <c r="F363" s="637"/>
      <c r="G363" s="637"/>
      <c r="H363" s="637"/>
      <c r="I363" s="637"/>
      <c r="J363" s="637"/>
    </row>
    <row r="364" spans="1:10" x14ac:dyDescent="0.2">
      <c r="A364" s="626"/>
      <c r="B364" s="637"/>
      <c r="C364" s="637"/>
      <c r="D364" s="637"/>
      <c r="E364" s="637"/>
      <c r="F364" s="637"/>
      <c r="G364" s="637"/>
      <c r="H364" s="637"/>
      <c r="I364" s="637"/>
      <c r="J364" s="637"/>
    </row>
    <row r="365" spans="1:10" x14ac:dyDescent="0.2">
      <c r="A365" s="626"/>
      <c r="B365" s="637"/>
      <c r="C365" s="637"/>
      <c r="D365" s="637"/>
      <c r="E365" s="637"/>
      <c r="F365" s="637"/>
      <c r="G365" s="637"/>
      <c r="H365" s="637"/>
      <c r="I365" s="637"/>
      <c r="J365" s="637"/>
    </row>
    <row r="366" spans="1:10" x14ac:dyDescent="0.2">
      <c r="A366" s="626"/>
      <c r="B366" s="637"/>
      <c r="C366" s="637"/>
      <c r="D366" s="637"/>
      <c r="E366" s="637"/>
      <c r="F366" s="637"/>
      <c r="G366" s="637"/>
      <c r="H366" s="637"/>
      <c r="I366" s="637"/>
      <c r="J366" s="637"/>
    </row>
    <row r="367" spans="1:10" x14ac:dyDescent="0.2">
      <c r="A367" s="626"/>
      <c r="B367" s="637"/>
      <c r="C367" s="637"/>
      <c r="D367" s="637"/>
      <c r="E367" s="637"/>
      <c r="F367" s="637"/>
      <c r="G367" s="637"/>
      <c r="H367" s="637"/>
      <c r="I367" s="637"/>
      <c r="J367" s="637"/>
    </row>
    <row r="368" spans="1:10" x14ac:dyDescent="0.2">
      <c r="A368" s="626"/>
      <c r="B368" s="637"/>
      <c r="C368" s="637"/>
      <c r="D368" s="637"/>
      <c r="E368" s="637"/>
      <c r="F368" s="637"/>
      <c r="G368" s="637"/>
      <c r="H368" s="637"/>
      <c r="I368" s="637"/>
      <c r="J368" s="637"/>
    </row>
    <row r="369" spans="1:10" x14ac:dyDescent="0.2">
      <c r="A369" s="626"/>
      <c r="B369" s="637"/>
      <c r="C369" s="637"/>
      <c r="D369" s="637"/>
      <c r="E369" s="637"/>
      <c r="F369" s="637"/>
      <c r="G369" s="637"/>
      <c r="H369" s="637"/>
      <c r="I369" s="637"/>
      <c r="J369" s="637"/>
    </row>
    <row r="370" spans="1:10" x14ac:dyDescent="0.2">
      <c r="A370" s="626"/>
      <c r="B370" s="637"/>
      <c r="C370" s="637"/>
      <c r="D370" s="637"/>
      <c r="E370" s="637"/>
      <c r="F370" s="637"/>
      <c r="G370" s="637"/>
      <c r="H370" s="637"/>
      <c r="I370" s="637"/>
      <c r="J370" s="637"/>
    </row>
    <row r="371" spans="1:10" x14ac:dyDescent="0.2">
      <c r="A371" s="626"/>
      <c r="B371" s="637"/>
      <c r="C371" s="637"/>
      <c r="D371" s="637"/>
      <c r="E371" s="637"/>
      <c r="F371" s="637"/>
      <c r="G371" s="637"/>
      <c r="H371" s="637"/>
      <c r="I371" s="637"/>
      <c r="J371" s="637"/>
    </row>
    <row r="372" spans="1:10" x14ac:dyDescent="0.2">
      <c r="A372" s="626"/>
      <c r="B372" s="637"/>
      <c r="C372" s="637"/>
      <c r="D372" s="637"/>
      <c r="E372" s="637"/>
      <c r="F372" s="637"/>
      <c r="G372" s="637"/>
      <c r="H372" s="637"/>
      <c r="I372" s="637"/>
      <c r="J372" s="637"/>
    </row>
    <row r="373" spans="1:10" x14ac:dyDescent="0.2">
      <c r="A373" s="626"/>
      <c r="B373" s="637"/>
      <c r="C373" s="637"/>
      <c r="D373" s="637"/>
      <c r="E373" s="637"/>
      <c r="F373" s="637"/>
      <c r="G373" s="637"/>
      <c r="H373" s="637"/>
      <c r="I373" s="637"/>
      <c r="J373" s="637"/>
    </row>
    <row r="374" spans="1:10" x14ac:dyDescent="0.2">
      <c r="A374" s="626"/>
      <c r="B374" s="637"/>
      <c r="C374" s="637"/>
      <c r="D374" s="637"/>
      <c r="E374" s="637"/>
      <c r="F374" s="637"/>
      <c r="G374" s="637"/>
      <c r="H374" s="637"/>
      <c r="I374" s="637"/>
      <c r="J374" s="637"/>
    </row>
    <row r="375" spans="1:10" x14ac:dyDescent="0.2">
      <c r="A375" s="626"/>
      <c r="B375" s="637"/>
      <c r="C375" s="637"/>
      <c r="D375" s="637"/>
      <c r="E375" s="637"/>
      <c r="F375" s="637"/>
      <c r="G375" s="637"/>
      <c r="H375" s="637"/>
      <c r="I375" s="637"/>
      <c r="J375" s="637"/>
    </row>
    <row r="376" spans="1:10" x14ac:dyDescent="0.2">
      <c r="A376" s="626"/>
      <c r="B376" s="637"/>
      <c r="C376" s="637"/>
      <c r="D376" s="637"/>
      <c r="E376" s="637"/>
      <c r="F376" s="637"/>
      <c r="G376" s="637"/>
      <c r="H376" s="637"/>
      <c r="I376" s="637"/>
      <c r="J376" s="637"/>
    </row>
    <row r="377" spans="1:10" x14ac:dyDescent="0.2">
      <c r="A377" s="626"/>
      <c r="B377" s="637"/>
      <c r="C377" s="637"/>
      <c r="D377" s="637"/>
      <c r="E377" s="637"/>
      <c r="F377" s="637"/>
      <c r="G377" s="637"/>
      <c r="H377" s="637"/>
      <c r="I377" s="637"/>
      <c r="J377" s="637"/>
    </row>
    <row r="378" spans="1:10" x14ac:dyDescent="0.2">
      <c r="A378" s="626"/>
      <c r="B378" s="637"/>
      <c r="C378" s="637"/>
      <c r="D378" s="637"/>
      <c r="E378" s="637"/>
      <c r="F378" s="637"/>
      <c r="G378" s="637"/>
      <c r="H378" s="637"/>
      <c r="I378" s="637"/>
      <c r="J378" s="637"/>
    </row>
    <row r="379" spans="1:10" x14ac:dyDescent="0.2">
      <c r="A379" s="626"/>
      <c r="B379" s="637"/>
      <c r="C379" s="637"/>
      <c r="D379" s="637"/>
      <c r="E379" s="637"/>
      <c r="F379" s="637"/>
      <c r="G379" s="637"/>
      <c r="H379" s="637"/>
      <c r="I379" s="637"/>
      <c r="J379" s="637"/>
    </row>
    <row r="380" spans="1:10" x14ac:dyDescent="0.2">
      <c r="A380" s="626"/>
      <c r="B380" s="637"/>
      <c r="C380" s="637"/>
      <c r="D380" s="637"/>
      <c r="E380" s="637"/>
      <c r="F380" s="637"/>
      <c r="G380" s="637"/>
      <c r="H380" s="637"/>
      <c r="I380" s="637"/>
      <c r="J380" s="637"/>
    </row>
    <row r="381" spans="1:10" x14ac:dyDescent="0.2">
      <c r="A381" s="626"/>
      <c r="B381" s="637"/>
      <c r="C381" s="637"/>
      <c r="D381" s="637"/>
      <c r="E381" s="637"/>
      <c r="F381" s="637"/>
      <c r="G381" s="637"/>
      <c r="H381" s="637"/>
      <c r="I381" s="637"/>
      <c r="J381" s="637"/>
    </row>
    <row r="382" spans="1:10" x14ac:dyDescent="0.2">
      <c r="A382" s="626"/>
      <c r="B382" s="637"/>
      <c r="C382" s="637"/>
      <c r="D382" s="637"/>
      <c r="E382" s="637"/>
      <c r="F382" s="637"/>
      <c r="G382" s="637"/>
      <c r="H382" s="637"/>
      <c r="I382" s="637"/>
      <c r="J382" s="637"/>
    </row>
    <row r="383" spans="1:10" x14ac:dyDescent="0.2">
      <c r="A383" s="626"/>
      <c r="B383" s="637"/>
      <c r="C383" s="637"/>
      <c r="D383" s="637"/>
      <c r="E383" s="637"/>
      <c r="F383" s="637"/>
      <c r="G383" s="637"/>
      <c r="H383" s="637"/>
      <c r="I383" s="637"/>
      <c r="J383" s="637"/>
    </row>
    <row r="384" spans="1:10" x14ac:dyDescent="0.2">
      <c r="A384" s="626"/>
      <c r="B384" s="637"/>
      <c r="C384" s="637"/>
      <c r="D384" s="637"/>
      <c r="E384" s="637"/>
      <c r="F384" s="637"/>
      <c r="G384" s="637"/>
      <c r="H384" s="637"/>
      <c r="I384" s="637"/>
      <c r="J384" s="637"/>
    </row>
    <row r="385" spans="1:10" x14ac:dyDescent="0.2">
      <c r="A385" s="626"/>
      <c r="B385" s="637"/>
      <c r="C385" s="637"/>
      <c r="D385" s="637"/>
      <c r="E385" s="637"/>
      <c r="F385" s="637"/>
      <c r="G385" s="637"/>
      <c r="H385" s="637"/>
      <c r="I385" s="637"/>
      <c r="J385" s="637"/>
    </row>
    <row r="386" spans="1:10" x14ac:dyDescent="0.2">
      <c r="A386" s="626"/>
      <c r="B386" s="637"/>
      <c r="C386" s="637"/>
      <c r="D386" s="637"/>
      <c r="E386" s="637"/>
      <c r="F386" s="637"/>
      <c r="G386" s="637"/>
      <c r="H386" s="637"/>
      <c r="I386" s="637"/>
      <c r="J386" s="637"/>
    </row>
    <row r="387" spans="1:10" x14ac:dyDescent="0.2">
      <c r="A387" s="626"/>
      <c r="B387" s="637"/>
      <c r="C387" s="637"/>
      <c r="D387" s="637"/>
      <c r="E387" s="637"/>
      <c r="F387" s="637"/>
      <c r="G387" s="637"/>
      <c r="H387" s="637"/>
      <c r="I387" s="637"/>
      <c r="J387" s="637"/>
    </row>
    <row r="388" spans="1:10" x14ac:dyDescent="0.2">
      <c r="A388" s="626"/>
      <c r="B388" s="637"/>
      <c r="C388" s="637"/>
      <c r="D388" s="637"/>
      <c r="E388" s="637"/>
      <c r="F388" s="637"/>
      <c r="G388" s="637"/>
      <c r="H388" s="637"/>
      <c r="I388" s="637"/>
      <c r="J388" s="637"/>
    </row>
    <row r="389" spans="1:10" x14ac:dyDescent="0.2">
      <c r="A389" s="626"/>
      <c r="B389" s="637"/>
      <c r="C389" s="637"/>
      <c r="D389" s="637"/>
      <c r="E389" s="637"/>
      <c r="F389" s="637"/>
      <c r="G389" s="637"/>
      <c r="H389" s="637"/>
      <c r="I389" s="637"/>
      <c r="J389" s="637"/>
    </row>
    <row r="390" spans="1:10" x14ac:dyDescent="0.2">
      <c r="A390" s="626"/>
      <c r="B390" s="637"/>
      <c r="C390" s="637"/>
      <c r="D390" s="637"/>
      <c r="E390" s="637"/>
      <c r="F390" s="637"/>
      <c r="G390" s="637"/>
      <c r="H390" s="637"/>
      <c r="I390" s="637"/>
      <c r="J390" s="637"/>
    </row>
    <row r="391" spans="1:10" x14ac:dyDescent="0.2">
      <c r="A391" s="626"/>
      <c r="B391" s="637"/>
      <c r="C391" s="637"/>
      <c r="D391" s="637"/>
      <c r="E391" s="637"/>
      <c r="F391" s="637"/>
      <c r="G391" s="637"/>
      <c r="H391" s="637"/>
      <c r="I391" s="637"/>
      <c r="J391" s="637"/>
    </row>
    <row r="392" spans="1:10" x14ac:dyDescent="0.2">
      <c r="A392" s="626"/>
      <c r="B392" s="637"/>
      <c r="C392" s="637"/>
      <c r="D392" s="637"/>
      <c r="E392" s="637"/>
      <c r="F392" s="637"/>
      <c r="G392" s="637"/>
      <c r="H392" s="637"/>
      <c r="I392" s="637"/>
      <c r="J392" s="637"/>
    </row>
    <row r="393" spans="1:10" x14ac:dyDescent="0.2">
      <c r="A393" s="626"/>
      <c r="B393" s="637"/>
      <c r="C393" s="637"/>
      <c r="D393" s="637"/>
      <c r="E393" s="637"/>
      <c r="F393" s="637"/>
      <c r="G393" s="637"/>
      <c r="H393" s="637"/>
      <c r="I393" s="637"/>
      <c r="J393" s="637"/>
    </row>
    <row r="394" spans="1:10" x14ac:dyDescent="0.2">
      <c r="A394" s="626"/>
      <c r="B394" s="637"/>
      <c r="C394" s="637"/>
      <c r="D394" s="637"/>
      <c r="E394" s="637"/>
      <c r="F394" s="637"/>
      <c r="G394" s="637"/>
      <c r="H394" s="637"/>
      <c r="I394" s="637"/>
      <c r="J394" s="637"/>
    </row>
    <row r="395" spans="1:10" x14ac:dyDescent="0.2">
      <c r="A395" s="626"/>
      <c r="B395" s="637"/>
      <c r="C395" s="637"/>
      <c r="D395" s="637"/>
      <c r="E395" s="637"/>
      <c r="F395" s="637"/>
      <c r="G395" s="637"/>
      <c r="H395" s="637"/>
      <c r="I395" s="637"/>
      <c r="J395" s="637"/>
    </row>
    <row r="396" spans="1:10" x14ac:dyDescent="0.2">
      <c r="A396" s="626"/>
      <c r="B396" s="637"/>
      <c r="C396" s="637"/>
      <c r="D396" s="637"/>
      <c r="E396" s="637"/>
      <c r="F396" s="637"/>
      <c r="G396" s="637"/>
      <c r="H396" s="637"/>
      <c r="I396" s="637"/>
      <c r="J396" s="637"/>
    </row>
    <row r="397" spans="1:10" x14ac:dyDescent="0.2">
      <c r="A397" s="626"/>
      <c r="B397" s="637"/>
      <c r="C397" s="637"/>
      <c r="D397" s="637"/>
      <c r="E397" s="637"/>
      <c r="F397" s="637"/>
      <c r="G397" s="637"/>
      <c r="H397" s="637"/>
      <c r="I397" s="637"/>
      <c r="J397" s="637"/>
    </row>
    <row r="398" spans="1:10" x14ac:dyDescent="0.2">
      <c r="A398" s="626"/>
      <c r="B398" s="637"/>
      <c r="C398" s="637"/>
      <c r="D398" s="637"/>
      <c r="E398" s="637"/>
      <c r="F398" s="637"/>
      <c r="G398" s="637"/>
      <c r="H398" s="637"/>
      <c r="I398" s="637"/>
      <c r="J398" s="637"/>
    </row>
    <row r="399" spans="1:10" x14ac:dyDescent="0.2">
      <c r="A399" s="626"/>
      <c r="B399" s="637"/>
      <c r="C399" s="637"/>
      <c r="D399" s="637"/>
      <c r="E399" s="637"/>
      <c r="F399" s="637"/>
      <c r="G399" s="637"/>
      <c r="H399" s="637"/>
      <c r="I399" s="637"/>
      <c r="J399" s="637"/>
    </row>
    <row r="400" spans="1:10" x14ac:dyDescent="0.2">
      <c r="A400" s="626"/>
      <c r="B400" s="637"/>
      <c r="C400" s="637"/>
      <c r="D400" s="637"/>
      <c r="E400" s="637"/>
      <c r="F400" s="637"/>
      <c r="G400" s="637"/>
      <c r="H400" s="637"/>
      <c r="I400" s="637"/>
      <c r="J400" s="637"/>
    </row>
    <row r="401" spans="1:10" x14ac:dyDescent="0.2">
      <c r="A401" s="626"/>
      <c r="B401" s="637"/>
      <c r="C401" s="637"/>
      <c r="D401" s="637"/>
      <c r="E401" s="637"/>
      <c r="F401" s="637"/>
      <c r="G401" s="637"/>
      <c r="H401" s="637"/>
      <c r="I401" s="637"/>
      <c r="J401" s="637"/>
    </row>
    <row r="402" spans="1:10" x14ac:dyDescent="0.2">
      <c r="A402" s="626"/>
      <c r="B402" s="637"/>
      <c r="C402" s="637"/>
      <c r="D402" s="637"/>
      <c r="E402" s="637"/>
      <c r="F402" s="637"/>
      <c r="G402" s="637"/>
      <c r="H402" s="637"/>
      <c r="I402" s="637"/>
      <c r="J402" s="637"/>
    </row>
    <row r="403" spans="1:10" x14ac:dyDescent="0.2">
      <c r="A403" s="626"/>
      <c r="B403" s="637"/>
      <c r="C403" s="637"/>
      <c r="D403" s="637"/>
      <c r="E403" s="637"/>
      <c r="F403" s="637"/>
      <c r="G403" s="637"/>
      <c r="H403" s="637"/>
      <c r="I403" s="637"/>
      <c r="J403" s="637"/>
    </row>
    <row r="404" spans="1:10" x14ac:dyDescent="0.2">
      <c r="A404" s="626"/>
      <c r="B404" s="637"/>
      <c r="C404" s="637"/>
      <c r="D404" s="637"/>
      <c r="E404" s="637"/>
      <c r="F404" s="637"/>
      <c r="G404" s="637"/>
      <c r="H404" s="637"/>
      <c r="I404" s="637"/>
      <c r="J404" s="637"/>
    </row>
    <row r="405" spans="1:10" x14ac:dyDescent="0.2">
      <c r="A405" s="626"/>
      <c r="B405" s="637"/>
      <c r="C405" s="637"/>
      <c r="D405" s="637"/>
      <c r="E405" s="637"/>
      <c r="F405" s="637"/>
      <c r="G405" s="637"/>
      <c r="H405" s="637"/>
      <c r="I405" s="637"/>
      <c r="J405" s="637"/>
    </row>
    <row r="406" spans="1:10" x14ac:dyDescent="0.2">
      <c r="A406" s="626"/>
      <c r="B406" s="637"/>
      <c r="C406" s="637"/>
      <c r="D406" s="637"/>
      <c r="E406" s="637"/>
      <c r="F406" s="637"/>
      <c r="G406" s="637"/>
      <c r="H406" s="637"/>
      <c r="I406" s="637"/>
      <c r="J406" s="637"/>
    </row>
    <row r="407" spans="1:10" x14ac:dyDescent="0.2">
      <c r="A407" s="626"/>
      <c r="B407" s="637"/>
      <c r="C407" s="637"/>
      <c r="D407" s="637"/>
      <c r="E407" s="637"/>
      <c r="F407" s="637"/>
      <c r="G407" s="637"/>
      <c r="H407" s="637"/>
      <c r="I407" s="637"/>
      <c r="J407" s="637"/>
    </row>
    <row r="408" spans="1:10" x14ac:dyDescent="0.2">
      <c r="A408" s="626"/>
      <c r="B408" s="637"/>
      <c r="C408" s="637"/>
      <c r="D408" s="637"/>
      <c r="E408" s="637"/>
      <c r="F408" s="637"/>
      <c r="G408" s="637"/>
      <c r="H408" s="637"/>
      <c r="I408" s="637"/>
      <c r="J408" s="637"/>
    </row>
    <row r="409" spans="1:10" x14ac:dyDescent="0.2">
      <c r="A409" s="626"/>
      <c r="B409" s="637"/>
      <c r="C409" s="637"/>
      <c r="D409" s="637"/>
      <c r="E409" s="637"/>
      <c r="F409" s="637"/>
      <c r="G409" s="637"/>
      <c r="H409" s="637"/>
      <c r="I409" s="637"/>
      <c r="J409" s="637"/>
    </row>
    <row r="410" spans="1:10" x14ac:dyDescent="0.2">
      <c r="A410" s="626"/>
      <c r="B410" s="637"/>
      <c r="C410" s="637"/>
      <c r="D410" s="637"/>
      <c r="E410" s="637"/>
      <c r="F410" s="637"/>
      <c r="G410" s="637"/>
      <c r="H410" s="637"/>
      <c r="I410" s="637"/>
      <c r="J410" s="637"/>
    </row>
    <row r="411" spans="1:10" x14ac:dyDescent="0.2">
      <c r="A411" s="626"/>
      <c r="B411" s="637"/>
      <c r="C411" s="637"/>
      <c r="D411" s="637"/>
      <c r="E411" s="637"/>
      <c r="F411" s="637"/>
      <c r="G411" s="637"/>
      <c r="H411" s="637"/>
      <c r="I411" s="637"/>
      <c r="J411" s="637"/>
    </row>
    <row r="412" spans="1:10" x14ac:dyDescent="0.2">
      <c r="A412" s="626"/>
      <c r="B412" s="637"/>
      <c r="C412" s="637"/>
      <c r="D412" s="637"/>
      <c r="E412" s="637"/>
      <c r="F412" s="637"/>
      <c r="G412" s="637"/>
      <c r="H412" s="637"/>
      <c r="I412" s="637"/>
      <c r="J412" s="637"/>
    </row>
    <row r="413" spans="1:10" x14ac:dyDescent="0.2">
      <c r="A413" s="626"/>
      <c r="B413" s="637"/>
      <c r="C413" s="637"/>
      <c r="D413" s="637"/>
      <c r="E413" s="637"/>
      <c r="F413" s="637"/>
      <c r="G413" s="637"/>
      <c r="H413" s="637"/>
      <c r="I413" s="637"/>
      <c r="J413" s="637"/>
    </row>
    <row r="414" spans="1:10" x14ac:dyDescent="0.2">
      <c r="A414" s="626"/>
      <c r="B414" s="637"/>
      <c r="C414" s="637"/>
      <c r="D414" s="637"/>
      <c r="E414" s="637"/>
      <c r="F414" s="637"/>
      <c r="G414" s="637"/>
      <c r="H414" s="637"/>
      <c r="I414" s="637"/>
      <c r="J414" s="637"/>
    </row>
    <row r="415" spans="1:10" x14ac:dyDescent="0.2">
      <c r="A415" s="626"/>
      <c r="B415" s="637"/>
      <c r="C415" s="637"/>
      <c r="D415" s="637"/>
      <c r="E415" s="637"/>
      <c r="F415" s="637"/>
      <c r="G415" s="637"/>
      <c r="H415" s="637"/>
      <c r="I415" s="637"/>
      <c r="J415" s="637"/>
    </row>
    <row r="416" spans="1:10" x14ac:dyDescent="0.2">
      <c r="A416" s="626"/>
      <c r="B416" s="637"/>
      <c r="C416" s="637"/>
      <c r="D416" s="637"/>
      <c r="E416" s="637"/>
      <c r="F416" s="637"/>
      <c r="G416" s="637"/>
      <c r="H416" s="637"/>
      <c r="I416" s="637"/>
      <c r="J416" s="637"/>
    </row>
    <row r="417" spans="1:10" x14ac:dyDescent="0.2">
      <c r="A417" s="626"/>
      <c r="B417" s="637"/>
      <c r="C417" s="637"/>
      <c r="D417" s="637"/>
      <c r="E417" s="637"/>
      <c r="F417" s="637"/>
      <c r="G417" s="637"/>
      <c r="H417" s="637"/>
      <c r="I417" s="637"/>
      <c r="J417" s="637"/>
    </row>
    <row r="418" spans="1:10" x14ac:dyDescent="0.2">
      <c r="A418" s="626"/>
      <c r="B418" s="637"/>
      <c r="C418" s="637"/>
      <c r="D418" s="637"/>
      <c r="E418" s="637"/>
      <c r="F418" s="637"/>
      <c r="G418" s="637"/>
      <c r="H418" s="637"/>
      <c r="I418" s="637"/>
      <c r="J418" s="637"/>
    </row>
    <row r="419" spans="1:10" x14ac:dyDescent="0.2">
      <c r="A419" s="626"/>
      <c r="B419" s="637"/>
      <c r="C419" s="637"/>
      <c r="D419" s="637"/>
      <c r="E419" s="637"/>
      <c r="F419" s="637"/>
      <c r="G419" s="637"/>
      <c r="H419" s="637"/>
      <c r="I419" s="637"/>
      <c r="J419" s="637"/>
    </row>
    <row r="420" spans="1:10" x14ac:dyDescent="0.2">
      <c r="A420" s="626"/>
      <c r="B420" s="637"/>
      <c r="C420" s="637"/>
      <c r="D420" s="637"/>
      <c r="E420" s="637"/>
      <c r="F420" s="637"/>
      <c r="G420" s="637"/>
      <c r="H420" s="637"/>
      <c r="I420" s="637"/>
      <c r="J420" s="637"/>
    </row>
    <row r="421" spans="1:10" x14ac:dyDescent="0.2">
      <c r="A421" s="626"/>
      <c r="B421" s="637"/>
      <c r="C421" s="637"/>
      <c r="D421" s="637"/>
      <c r="E421" s="637"/>
      <c r="F421" s="637"/>
      <c r="G421" s="637"/>
      <c r="H421" s="637"/>
      <c r="I421" s="637"/>
      <c r="J421" s="637"/>
    </row>
    <row r="422" spans="1:10" x14ac:dyDescent="0.2">
      <c r="A422" s="626"/>
      <c r="B422" s="637"/>
      <c r="C422" s="637"/>
      <c r="D422" s="637"/>
      <c r="E422" s="637"/>
      <c r="F422" s="637"/>
      <c r="G422" s="637"/>
      <c r="H422" s="637"/>
      <c r="I422" s="637"/>
      <c r="J422" s="637"/>
    </row>
    <row r="423" spans="1:10" x14ac:dyDescent="0.2">
      <c r="A423" s="626"/>
      <c r="B423" s="637"/>
      <c r="C423" s="637"/>
      <c r="D423" s="637"/>
      <c r="E423" s="637"/>
      <c r="F423" s="637"/>
      <c r="G423" s="637"/>
      <c r="H423" s="637"/>
      <c r="I423" s="637"/>
      <c r="J423" s="637"/>
    </row>
    <row r="424" spans="1:10" x14ac:dyDescent="0.2">
      <c r="A424" s="626"/>
      <c r="B424" s="637"/>
      <c r="C424" s="637"/>
      <c r="D424" s="637"/>
      <c r="E424" s="637"/>
      <c r="F424" s="637"/>
      <c r="G424" s="637"/>
      <c r="H424" s="637"/>
      <c r="I424" s="637"/>
      <c r="J424" s="637"/>
    </row>
    <row r="425" spans="1:10" x14ac:dyDescent="0.2">
      <c r="A425" s="626"/>
      <c r="B425" s="637"/>
      <c r="C425" s="637"/>
      <c r="D425" s="637"/>
      <c r="E425" s="637"/>
      <c r="F425" s="637"/>
      <c r="G425" s="637"/>
      <c r="H425" s="637"/>
      <c r="I425" s="637"/>
      <c r="J425" s="637"/>
    </row>
    <row r="426" spans="1:10" x14ac:dyDescent="0.2">
      <c r="A426" s="626"/>
      <c r="B426" s="637"/>
      <c r="C426" s="637"/>
      <c r="D426" s="637"/>
      <c r="E426" s="637"/>
      <c r="F426" s="637"/>
      <c r="G426" s="637"/>
      <c r="H426" s="637"/>
      <c r="I426" s="637"/>
      <c r="J426" s="637"/>
    </row>
    <row r="427" spans="1:10" x14ac:dyDescent="0.2">
      <c r="A427" s="626"/>
      <c r="B427" s="637"/>
      <c r="C427" s="637"/>
      <c r="D427" s="637"/>
      <c r="E427" s="637"/>
      <c r="F427" s="637"/>
      <c r="G427" s="637"/>
      <c r="H427" s="637"/>
      <c r="I427" s="637"/>
      <c r="J427" s="637"/>
    </row>
    <row r="428" spans="1:10" x14ac:dyDescent="0.2">
      <c r="A428" s="626"/>
      <c r="B428" s="637"/>
      <c r="C428" s="637"/>
      <c r="D428" s="637"/>
      <c r="E428" s="637"/>
      <c r="F428" s="637"/>
      <c r="G428" s="637"/>
      <c r="H428" s="637"/>
      <c r="I428" s="637"/>
      <c r="J428" s="637"/>
    </row>
    <row r="429" spans="1:10" x14ac:dyDescent="0.2">
      <c r="A429" s="626"/>
      <c r="B429" s="637"/>
      <c r="C429" s="637"/>
      <c r="D429" s="637"/>
      <c r="E429" s="637"/>
      <c r="F429" s="637"/>
      <c r="G429" s="637"/>
      <c r="H429" s="637"/>
      <c r="I429" s="637"/>
      <c r="J429" s="637"/>
    </row>
    <row r="430" spans="1:10" x14ac:dyDescent="0.2">
      <c r="A430" s="626"/>
      <c r="B430" s="637"/>
      <c r="C430" s="637"/>
      <c r="D430" s="637"/>
      <c r="E430" s="637"/>
      <c r="F430" s="637"/>
      <c r="G430" s="637"/>
      <c r="H430" s="637"/>
      <c r="I430" s="637"/>
      <c r="J430" s="637"/>
    </row>
    <row r="431" spans="1:10" x14ac:dyDescent="0.2">
      <c r="A431" s="626"/>
      <c r="B431" s="637"/>
      <c r="C431" s="637"/>
      <c r="D431" s="637"/>
      <c r="E431" s="637"/>
      <c r="F431" s="637"/>
      <c r="G431" s="637"/>
      <c r="H431" s="637"/>
      <c r="I431" s="637"/>
      <c r="J431" s="637"/>
    </row>
    <row r="432" spans="1:10" x14ac:dyDescent="0.2">
      <c r="A432" s="626"/>
      <c r="B432" s="637"/>
      <c r="C432" s="637"/>
      <c r="D432" s="637"/>
      <c r="E432" s="637"/>
      <c r="F432" s="637"/>
      <c r="G432" s="637"/>
      <c r="H432" s="637"/>
      <c r="I432" s="637"/>
      <c r="J432" s="637"/>
    </row>
    <row r="433" spans="1:10" x14ac:dyDescent="0.2">
      <c r="A433" s="626"/>
      <c r="B433" s="637"/>
      <c r="C433" s="637"/>
      <c r="D433" s="637"/>
      <c r="E433" s="637"/>
      <c r="F433" s="637"/>
      <c r="G433" s="637"/>
      <c r="H433" s="637"/>
      <c r="I433" s="637"/>
      <c r="J433" s="637"/>
    </row>
    <row r="434" spans="1:10" x14ac:dyDescent="0.2">
      <c r="A434" s="626"/>
      <c r="B434" s="637"/>
      <c r="C434" s="637"/>
      <c r="D434" s="637"/>
      <c r="E434" s="637"/>
      <c r="F434" s="637"/>
      <c r="G434" s="637"/>
      <c r="H434" s="637"/>
      <c r="I434" s="637"/>
      <c r="J434" s="637"/>
    </row>
    <row r="435" spans="1:10" x14ac:dyDescent="0.2">
      <c r="A435" s="626"/>
      <c r="B435" s="637"/>
      <c r="C435" s="637"/>
      <c r="D435" s="637"/>
      <c r="E435" s="637"/>
      <c r="F435" s="637"/>
      <c r="G435" s="637"/>
      <c r="H435" s="637"/>
      <c r="I435" s="637"/>
      <c r="J435" s="637"/>
    </row>
    <row r="436" spans="1:10" x14ac:dyDescent="0.2">
      <c r="A436" s="626"/>
      <c r="B436" s="637"/>
      <c r="C436" s="637"/>
      <c r="D436" s="637"/>
      <c r="E436" s="637"/>
      <c r="F436" s="637"/>
      <c r="G436" s="637"/>
      <c r="H436" s="637"/>
      <c r="I436" s="637"/>
      <c r="J436" s="637"/>
    </row>
    <row r="437" spans="1:10" x14ac:dyDescent="0.2">
      <c r="A437" s="626"/>
      <c r="B437" s="637"/>
      <c r="C437" s="637"/>
      <c r="D437" s="637"/>
      <c r="E437" s="637"/>
      <c r="F437" s="637"/>
      <c r="G437" s="637"/>
      <c r="H437" s="637"/>
      <c r="I437" s="637"/>
      <c r="J437" s="637"/>
    </row>
    <row r="438" spans="1:10" x14ac:dyDescent="0.2">
      <c r="A438" s="626"/>
      <c r="B438" s="637"/>
      <c r="C438" s="637"/>
      <c r="D438" s="637"/>
      <c r="E438" s="637"/>
      <c r="F438" s="637"/>
      <c r="G438" s="637"/>
      <c r="H438" s="637"/>
      <c r="I438" s="637"/>
      <c r="J438" s="637"/>
    </row>
    <row r="439" spans="1:10" x14ac:dyDescent="0.2">
      <c r="A439" s="626"/>
      <c r="B439" s="637"/>
      <c r="C439" s="637"/>
      <c r="D439" s="637"/>
      <c r="E439" s="637"/>
      <c r="F439" s="637"/>
      <c r="G439" s="637"/>
      <c r="H439" s="637"/>
      <c r="I439" s="637"/>
      <c r="J439" s="637"/>
    </row>
    <row r="440" spans="1:10" x14ac:dyDescent="0.2">
      <c r="A440" s="626"/>
      <c r="B440" s="637"/>
      <c r="C440" s="637"/>
      <c r="D440" s="637"/>
      <c r="E440" s="637"/>
      <c r="F440" s="637"/>
      <c r="G440" s="637"/>
      <c r="H440" s="637"/>
      <c r="I440" s="637"/>
      <c r="J440" s="637"/>
    </row>
    <row r="441" spans="1:10" x14ac:dyDescent="0.2">
      <c r="A441" s="626"/>
      <c r="B441" s="637"/>
      <c r="C441" s="637"/>
      <c r="D441" s="637"/>
      <c r="E441" s="637"/>
      <c r="F441" s="637"/>
      <c r="G441" s="637"/>
      <c r="H441" s="637"/>
      <c r="I441" s="637"/>
      <c r="J441" s="637"/>
    </row>
    <row r="442" spans="1:10" x14ac:dyDescent="0.2">
      <c r="A442" s="626"/>
      <c r="B442" s="637"/>
      <c r="C442" s="637"/>
      <c r="D442" s="637"/>
      <c r="E442" s="637"/>
      <c r="F442" s="637"/>
      <c r="G442" s="637"/>
      <c r="H442" s="637"/>
      <c r="I442" s="637"/>
      <c r="J442" s="637"/>
    </row>
    <row r="443" spans="1:10" x14ac:dyDescent="0.2">
      <c r="A443" s="626"/>
      <c r="B443" s="637"/>
      <c r="C443" s="637"/>
      <c r="D443" s="637"/>
      <c r="E443" s="637"/>
      <c r="F443" s="637"/>
      <c r="G443" s="637"/>
      <c r="H443" s="637"/>
      <c r="I443" s="637"/>
      <c r="J443" s="637"/>
    </row>
    <row r="444" spans="1:10" x14ac:dyDescent="0.2">
      <c r="A444" s="626"/>
      <c r="B444" s="637"/>
      <c r="C444" s="637"/>
      <c r="D444" s="637"/>
      <c r="E444" s="637"/>
      <c r="F444" s="637"/>
      <c r="G444" s="637"/>
      <c r="H444" s="637"/>
      <c r="I444" s="637"/>
      <c r="J444" s="637"/>
    </row>
    <row r="445" spans="1:10" x14ac:dyDescent="0.2">
      <c r="A445" s="626"/>
      <c r="B445" s="637"/>
      <c r="C445" s="637"/>
      <c r="D445" s="637"/>
      <c r="E445" s="637"/>
      <c r="F445" s="637"/>
      <c r="G445" s="637"/>
      <c r="H445" s="637"/>
      <c r="I445" s="637"/>
      <c r="J445" s="637"/>
    </row>
    <row r="446" spans="1:10" x14ac:dyDescent="0.2">
      <c r="A446" s="626"/>
      <c r="B446" s="637"/>
      <c r="C446" s="637"/>
      <c r="D446" s="637"/>
      <c r="E446" s="637"/>
      <c r="F446" s="637"/>
      <c r="G446" s="637"/>
      <c r="H446" s="637"/>
      <c r="I446" s="637"/>
      <c r="J446" s="637"/>
    </row>
    <row r="447" spans="1:10" x14ac:dyDescent="0.2">
      <c r="A447" s="626"/>
      <c r="B447" s="637"/>
      <c r="C447" s="637"/>
      <c r="D447" s="637"/>
      <c r="E447" s="637"/>
      <c r="F447" s="637"/>
      <c r="G447" s="637"/>
      <c r="H447" s="637"/>
      <c r="I447" s="637"/>
      <c r="J447" s="637"/>
    </row>
    <row r="448" spans="1:10" x14ac:dyDescent="0.2">
      <c r="A448" s="626"/>
      <c r="B448" s="637"/>
      <c r="C448" s="637"/>
      <c r="D448" s="637"/>
      <c r="E448" s="637"/>
      <c r="F448" s="637"/>
      <c r="G448" s="637"/>
      <c r="H448" s="637"/>
      <c r="I448" s="637"/>
      <c r="J448" s="637"/>
    </row>
    <row r="449" spans="1:10" x14ac:dyDescent="0.2">
      <c r="A449" s="626"/>
      <c r="B449" s="637"/>
      <c r="C449" s="637"/>
      <c r="D449" s="637"/>
      <c r="E449" s="637"/>
      <c r="F449" s="637"/>
      <c r="G449" s="637"/>
      <c r="H449" s="637"/>
      <c r="I449" s="637"/>
      <c r="J449" s="637"/>
    </row>
    <row r="450" spans="1:10" x14ac:dyDescent="0.2">
      <c r="A450" s="626"/>
      <c r="B450" s="637"/>
      <c r="C450" s="637"/>
      <c r="D450" s="637"/>
      <c r="E450" s="637"/>
      <c r="F450" s="637"/>
      <c r="G450" s="637"/>
      <c r="H450" s="637"/>
      <c r="I450" s="637"/>
      <c r="J450" s="637"/>
    </row>
    <row r="451" spans="1:10" x14ac:dyDescent="0.2">
      <c r="A451" s="626"/>
      <c r="B451" s="637"/>
      <c r="C451" s="637"/>
      <c r="D451" s="637"/>
      <c r="E451" s="637"/>
      <c r="F451" s="637"/>
      <c r="G451" s="637"/>
      <c r="H451" s="637"/>
      <c r="I451" s="637"/>
      <c r="J451" s="637"/>
    </row>
    <row r="452" spans="1:10" x14ac:dyDescent="0.2">
      <c r="A452" s="626"/>
      <c r="B452" s="637"/>
      <c r="C452" s="637"/>
      <c r="D452" s="637"/>
      <c r="E452" s="637"/>
      <c r="F452" s="637"/>
      <c r="G452" s="637"/>
      <c r="H452" s="637"/>
      <c r="I452" s="637"/>
      <c r="J452" s="637"/>
    </row>
    <row r="453" spans="1:10" x14ac:dyDescent="0.2">
      <c r="A453" s="626"/>
      <c r="B453" s="637"/>
      <c r="C453" s="637"/>
      <c r="D453" s="637"/>
      <c r="E453" s="637"/>
      <c r="F453" s="637"/>
      <c r="G453" s="637"/>
      <c r="H453" s="637"/>
      <c r="I453" s="637"/>
      <c r="J453" s="637"/>
    </row>
    <row r="454" spans="1:10" x14ac:dyDescent="0.2">
      <c r="A454" s="626"/>
      <c r="B454" s="637"/>
      <c r="C454" s="637"/>
      <c r="D454" s="637"/>
      <c r="E454" s="637"/>
      <c r="F454" s="637"/>
      <c r="G454" s="637"/>
      <c r="H454" s="637"/>
      <c r="I454" s="637"/>
      <c r="J454" s="637"/>
    </row>
    <row r="455" spans="1:10" x14ac:dyDescent="0.2">
      <c r="A455" s="626"/>
      <c r="B455" s="637"/>
      <c r="C455" s="637"/>
      <c r="D455" s="637"/>
      <c r="E455" s="637"/>
      <c r="F455" s="637"/>
      <c r="G455" s="637"/>
      <c r="H455" s="637"/>
      <c r="I455" s="637"/>
      <c r="J455" s="637"/>
    </row>
    <row r="456" spans="1:10" x14ac:dyDescent="0.2">
      <c r="A456" s="626"/>
      <c r="B456" s="637"/>
      <c r="C456" s="637"/>
      <c r="D456" s="637"/>
      <c r="E456" s="637"/>
      <c r="F456" s="637"/>
      <c r="G456" s="637"/>
      <c r="H456" s="637"/>
      <c r="I456" s="637"/>
      <c r="J456" s="637"/>
    </row>
    <row r="457" spans="1:10" x14ac:dyDescent="0.2">
      <c r="A457" s="626"/>
      <c r="B457" s="637"/>
      <c r="C457" s="637"/>
      <c r="D457" s="637"/>
      <c r="E457" s="637"/>
      <c r="F457" s="637"/>
      <c r="G457" s="637"/>
      <c r="H457" s="637"/>
      <c r="I457" s="637"/>
      <c r="J457" s="637"/>
    </row>
    <row r="458" spans="1:10" x14ac:dyDescent="0.2">
      <c r="A458" s="626"/>
      <c r="B458" s="637"/>
      <c r="C458" s="637"/>
      <c r="D458" s="637"/>
      <c r="E458" s="637"/>
      <c r="F458" s="637"/>
      <c r="G458" s="637"/>
      <c r="H458" s="637"/>
      <c r="I458" s="637"/>
      <c r="J458" s="637"/>
    </row>
    <row r="459" spans="1:10" x14ac:dyDescent="0.2">
      <c r="A459" s="626"/>
      <c r="B459" s="637"/>
      <c r="C459" s="637"/>
      <c r="D459" s="637"/>
      <c r="E459" s="637"/>
      <c r="F459" s="637"/>
      <c r="G459" s="637"/>
      <c r="H459" s="637"/>
      <c r="I459" s="637"/>
      <c r="J459" s="637"/>
    </row>
    <row r="460" spans="1:10" x14ac:dyDescent="0.2">
      <c r="A460" s="626"/>
      <c r="B460" s="637"/>
      <c r="C460" s="637"/>
      <c r="D460" s="637"/>
      <c r="E460" s="637"/>
      <c r="F460" s="637"/>
      <c r="G460" s="637"/>
      <c r="H460" s="637"/>
      <c r="I460" s="637"/>
      <c r="J460" s="637"/>
    </row>
    <row r="461" spans="1:10" x14ac:dyDescent="0.2">
      <c r="A461" s="626"/>
      <c r="B461" s="637"/>
      <c r="C461" s="637"/>
      <c r="D461" s="637"/>
      <c r="E461" s="637"/>
      <c r="F461" s="637"/>
      <c r="G461" s="637"/>
      <c r="H461" s="637"/>
      <c r="I461" s="637"/>
      <c r="J461" s="637"/>
    </row>
    <row r="462" spans="1:10" x14ac:dyDescent="0.2">
      <c r="A462" s="626"/>
      <c r="B462" s="637"/>
      <c r="C462" s="637"/>
      <c r="D462" s="637"/>
      <c r="E462" s="637"/>
      <c r="F462" s="637"/>
      <c r="G462" s="637"/>
      <c r="H462" s="637"/>
      <c r="I462" s="637"/>
      <c r="J462" s="637"/>
    </row>
    <row r="463" spans="1:10" x14ac:dyDescent="0.2">
      <c r="A463" s="626"/>
      <c r="B463" s="637"/>
      <c r="C463" s="637"/>
      <c r="D463" s="637"/>
      <c r="E463" s="637"/>
      <c r="F463" s="637"/>
      <c r="G463" s="637"/>
      <c r="H463" s="637"/>
      <c r="I463" s="637"/>
      <c r="J463" s="637"/>
    </row>
    <row r="464" spans="1:10" x14ac:dyDescent="0.2">
      <c r="A464" s="626"/>
      <c r="B464" s="637"/>
      <c r="C464" s="637"/>
      <c r="D464" s="637"/>
      <c r="E464" s="637"/>
      <c r="F464" s="637"/>
      <c r="G464" s="637"/>
      <c r="H464" s="637"/>
      <c r="I464" s="637"/>
      <c r="J464" s="637"/>
    </row>
    <row r="465" spans="1:10" x14ac:dyDescent="0.2">
      <c r="A465" s="626"/>
      <c r="B465" s="637"/>
      <c r="C465" s="637"/>
      <c r="D465" s="637"/>
      <c r="E465" s="637"/>
      <c r="F465" s="637"/>
      <c r="G465" s="637"/>
      <c r="H465" s="637"/>
      <c r="I465" s="637"/>
      <c r="J465" s="637"/>
    </row>
    <row r="466" spans="1:10" x14ac:dyDescent="0.2">
      <c r="A466" s="626"/>
      <c r="B466" s="637"/>
      <c r="C466" s="637"/>
      <c r="D466" s="637"/>
      <c r="E466" s="637"/>
      <c r="F466" s="637"/>
      <c r="G466" s="637"/>
      <c r="H466" s="637"/>
      <c r="I466" s="637"/>
      <c r="J466" s="637"/>
    </row>
    <row r="467" spans="1:10" x14ac:dyDescent="0.2">
      <c r="A467" s="626"/>
      <c r="B467" s="637"/>
      <c r="C467" s="637"/>
      <c r="D467" s="637"/>
      <c r="E467" s="637"/>
      <c r="F467" s="637"/>
      <c r="G467" s="637"/>
      <c r="H467" s="637"/>
      <c r="I467" s="637"/>
      <c r="J467" s="637"/>
    </row>
    <row r="468" spans="1:10" x14ac:dyDescent="0.2">
      <c r="A468" s="626"/>
      <c r="B468" s="637"/>
      <c r="C468" s="637"/>
      <c r="D468" s="637"/>
      <c r="E468" s="637"/>
      <c r="F468" s="637"/>
      <c r="G468" s="637"/>
      <c r="H468" s="637"/>
      <c r="I468" s="637"/>
      <c r="J468" s="637"/>
    </row>
    <row r="469" spans="1:10" x14ac:dyDescent="0.2">
      <c r="A469" s="626"/>
      <c r="B469" s="637"/>
      <c r="C469" s="637"/>
      <c r="D469" s="637"/>
      <c r="E469" s="637"/>
      <c r="F469" s="637"/>
      <c r="G469" s="637"/>
      <c r="H469" s="637"/>
      <c r="I469" s="637"/>
      <c r="J469" s="637"/>
    </row>
    <row r="470" spans="1:10" x14ac:dyDescent="0.2">
      <c r="A470" s="626"/>
      <c r="B470" s="637"/>
      <c r="C470" s="637"/>
      <c r="D470" s="637"/>
      <c r="E470" s="637"/>
      <c r="F470" s="637"/>
      <c r="G470" s="637"/>
      <c r="H470" s="637"/>
      <c r="I470" s="637"/>
      <c r="J470" s="637"/>
    </row>
    <row r="471" spans="1:10" x14ac:dyDescent="0.2">
      <c r="A471" s="626"/>
      <c r="B471" s="637"/>
      <c r="C471" s="637"/>
      <c r="D471" s="637"/>
      <c r="E471" s="637"/>
      <c r="F471" s="637"/>
      <c r="G471" s="637"/>
      <c r="H471" s="637"/>
      <c r="I471" s="637"/>
      <c r="J471" s="637"/>
    </row>
    <row r="472" spans="1:10" x14ac:dyDescent="0.2">
      <c r="A472" s="626"/>
      <c r="B472" s="637"/>
      <c r="C472" s="637"/>
      <c r="D472" s="637"/>
      <c r="E472" s="637"/>
      <c r="F472" s="637"/>
      <c r="G472" s="637"/>
      <c r="H472" s="637"/>
      <c r="I472" s="637"/>
      <c r="J472" s="637"/>
    </row>
    <row r="473" spans="1:10" x14ac:dyDescent="0.2">
      <c r="A473" s="626"/>
      <c r="B473" s="637"/>
      <c r="C473" s="637"/>
      <c r="D473" s="637"/>
      <c r="E473" s="637"/>
      <c r="F473" s="637"/>
      <c r="G473" s="637"/>
      <c r="H473" s="637"/>
      <c r="I473" s="637"/>
      <c r="J473" s="637"/>
    </row>
    <row r="474" spans="1:10" x14ac:dyDescent="0.2">
      <c r="A474" s="626"/>
      <c r="B474" s="637"/>
      <c r="C474" s="637"/>
      <c r="D474" s="637"/>
      <c r="E474" s="637"/>
      <c r="F474" s="637"/>
      <c r="G474" s="637"/>
      <c r="H474" s="637"/>
      <c r="I474" s="637"/>
      <c r="J474" s="637"/>
    </row>
    <row r="475" spans="1:10" x14ac:dyDescent="0.2">
      <c r="A475" s="626"/>
      <c r="B475" s="637"/>
      <c r="C475" s="637"/>
      <c r="D475" s="637"/>
      <c r="E475" s="637"/>
      <c r="F475" s="637"/>
      <c r="G475" s="637"/>
      <c r="H475" s="637"/>
      <c r="I475" s="637"/>
      <c r="J475" s="637"/>
    </row>
    <row r="476" spans="1:10" x14ac:dyDescent="0.2">
      <c r="A476" s="626"/>
      <c r="B476" s="637"/>
      <c r="C476" s="637"/>
      <c r="D476" s="637"/>
      <c r="E476" s="637"/>
      <c r="F476" s="637"/>
      <c r="G476" s="637"/>
      <c r="H476" s="637"/>
      <c r="I476" s="637"/>
      <c r="J476" s="637"/>
    </row>
    <row r="477" spans="1:10" x14ac:dyDescent="0.2">
      <c r="A477" s="626"/>
      <c r="B477" s="637"/>
      <c r="C477" s="637"/>
      <c r="D477" s="637"/>
      <c r="E477" s="637"/>
      <c r="F477" s="637"/>
      <c r="G477" s="637"/>
      <c r="H477" s="637"/>
      <c r="I477" s="637"/>
      <c r="J477" s="637"/>
    </row>
    <row r="478" spans="1:10" x14ac:dyDescent="0.2">
      <c r="A478" s="626"/>
      <c r="B478" s="637"/>
      <c r="C478" s="637"/>
      <c r="D478" s="637"/>
      <c r="E478" s="637"/>
      <c r="F478" s="637"/>
      <c r="G478" s="637"/>
      <c r="H478" s="637"/>
      <c r="I478" s="637"/>
      <c r="J478" s="637"/>
    </row>
    <row r="479" spans="1:10" x14ac:dyDescent="0.2">
      <c r="A479" s="626"/>
      <c r="B479" s="637"/>
      <c r="C479" s="637"/>
      <c r="D479" s="637"/>
      <c r="E479" s="637"/>
      <c r="F479" s="637"/>
      <c r="G479" s="637"/>
      <c r="H479" s="637"/>
      <c r="I479" s="637"/>
      <c r="J479" s="637"/>
    </row>
    <row r="480" spans="1:10" x14ac:dyDescent="0.2">
      <c r="A480" s="626"/>
      <c r="B480" s="637"/>
      <c r="C480" s="637"/>
      <c r="D480" s="637"/>
      <c r="E480" s="637"/>
      <c r="F480" s="637"/>
      <c r="G480" s="637"/>
      <c r="H480" s="637"/>
      <c r="I480" s="637"/>
      <c r="J480" s="637"/>
    </row>
    <row r="481" spans="1:10" x14ac:dyDescent="0.2">
      <c r="A481" s="626"/>
      <c r="B481" s="637"/>
      <c r="C481" s="637"/>
      <c r="D481" s="637"/>
      <c r="E481" s="637"/>
      <c r="F481" s="637"/>
      <c r="G481" s="637"/>
      <c r="H481" s="637"/>
      <c r="I481" s="637"/>
      <c r="J481" s="637"/>
    </row>
    <row r="482" spans="1:10" x14ac:dyDescent="0.2">
      <c r="A482" s="626"/>
      <c r="B482" s="637"/>
      <c r="C482" s="637"/>
      <c r="D482" s="637"/>
      <c r="E482" s="637"/>
      <c r="F482" s="637"/>
      <c r="G482" s="637"/>
      <c r="H482" s="637"/>
      <c r="I482" s="637"/>
      <c r="J482" s="637"/>
    </row>
    <row r="483" spans="1:10" x14ac:dyDescent="0.2">
      <c r="A483" s="626"/>
      <c r="B483" s="637"/>
      <c r="C483" s="637"/>
      <c r="D483" s="637"/>
      <c r="E483" s="637"/>
      <c r="F483" s="637"/>
      <c r="G483" s="637"/>
      <c r="H483" s="637"/>
      <c r="I483" s="637"/>
      <c r="J483" s="637"/>
    </row>
    <row r="484" spans="1:10" x14ac:dyDescent="0.2">
      <c r="A484" s="626"/>
      <c r="B484" s="637"/>
      <c r="C484" s="637"/>
      <c r="D484" s="637"/>
      <c r="E484" s="637"/>
      <c r="F484" s="637"/>
      <c r="G484" s="637"/>
      <c r="H484" s="637"/>
      <c r="I484" s="637"/>
      <c r="J484" s="637"/>
    </row>
    <row r="485" spans="1:10" x14ac:dyDescent="0.2">
      <c r="A485" s="626"/>
      <c r="B485" s="637"/>
      <c r="C485" s="637"/>
      <c r="D485" s="637"/>
      <c r="E485" s="637"/>
      <c r="F485" s="637"/>
      <c r="G485" s="637"/>
      <c r="H485" s="637"/>
      <c r="I485" s="637"/>
      <c r="J485" s="637"/>
    </row>
    <row r="486" spans="1:10" x14ac:dyDescent="0.2">
      <c r="A486" s="626"/>
      <c r="B486" s="637"/>
      <c r="C486" s="637"/>
      <c r="D486" s="637"/>
      <c r="E486" s="637"/>
      <c r="F486" s="637"/>
      <c r="G486" s="637"/>
      <c r="H486" s="637"/>
      <c r="I486" s="637"/>
      <c r="J486" s="637"/>
    </row>
    <row r="487" spans="1:10" x14ac:dyDescent="0.2">
      <c r="A487" s="626"/>
      <c r="B487" s="637"/>
      <c r="C487" s="637"/>
      <c r="D487" s="637"/>
      <c r="E487" s="637"/>
      <c r="F487" s="637"/>
      <c r="G487" s="637"/>
      <c r="H487" s="637"/>
      <c r="I487" s="637"/>
      <c r="J487" s="637"/>
    </row>
    <row r="488" spans="1:10" x14ac:dyDescent="0.2">
      <c r="A488" s="626"/>
      <c r="B488" s="637"/>
      <c r="C488" s="637"/>
      <c r="D488" s="637"/>
      <c r="E488" s="637"/>
      <c r="F488" s="637"/>
      <c r="G488" s="637"/>
      <c r="H488" s="637"/>
      <c r="I488" s="637"/>
      <c r="J488" s="637"/>
    </row>
    <row r="489" spans="1:10" x14ac:dyDescent="0.2">
      <c r="A489" s="626"/>
      <c r="B489" s="637"/>
      <c r="C489" s="637"/>
      <c r="D489" s="637"/>
      <c r="E489" s="637"/>
      <c r="F489" s="637"/>
      <c r="G489" s="637"/>
      <c r="H489" s="637"/>
      <c r="I489" s="637"/>
      <c r="J489" s="637"/>
    </row>
    <row r="490" spans="1:10" x14ac:dyDescent="0.2">
      <c r="A490" s="626"/>
      <c r="B490" s="637"/>
      <c r="C490" s="637"/>
      <c r="D490" s="637"/>
      <c r="E490" s="637"/>
      <c r="F490" s="637"/>
      <c r="G490" s="637"/>
      <c r="H490" s="637"/>
      <c r="I490" s="637"/>
      <c r="J490" s="637"/>
    </row>
    <row r="491" spans="1:10" x14ac:dyDescent="0.2">
      <c r="A491" s="626"/>
      <c r="B491" s="637"/>
      <c r="C491" s="637"/>
      <c r="D491" s="637"/>
      <c r="E491" s="637"/>
      <c r="F491" s="637"/>
      <c r="G491" s="637"/>
      <c r="H491" s="637"/>
      <c r="I491" s="637"/>
      <c r="J491" s="637"/>
    </row>
    <row r="492" spans="1:10" x14ac:dyDescent="0.2">
      <c r="A492" s="626"/>
      <c r="B492" s="637"/>
      <c r="C492" s="637"/>
      <c r="D492" s="637"/>
      <c r="E492" s="637"/>
      <c r="F492" s="637"/>
      <c r="G492" s="637"/>
      <c r="H492" s="637"/>
      <c r="I492" s="637"/>
      <c r="J492" s="637"/>
    </row>
    <row r="493" spans="1:10" x14ac:dyDescent="0.2">
      <c r="A493" s="626"/>
      <c r="B493" s="637"/>
      <c r="C493" s="637"/>
      <c r="D493" s="637"/>
      <c r="E493" s="637"/>
      <c r="F493" s="637"/>
      <c r="G493" s="637"/>
      <c r="H493" s="637"/>
      <c r="I493" s="637"/>
      <c r="J493" s="637"/>
    </row>
    <row r="494" spans="1:10" x14ac:dyDescent="0.2">
      <c r="A494" s="626"/>
      <c r="B494" s="637"/>
      <c r="C494" s="637"/>
      <c r="D494" s="637"/>
      <c r="E494" s="637"/>
      <c r="F494" s="637"/>
      <c r="G494" s="637"/>
      <c r="H494" s="637"/>
      <c r="I494" s="637"/>
      <c r="J494" s="637"/>
    </row>
    <row r="495" spans="1:10" x14ac:dyDescent="0.2">
      <c r="A495" s="626"/>
      <c r="B495" s="637"/>
      <c r="C495" s="637"/>
      <c r="D495" s="637"/>
      <c r="E495" s="637"/>
      <c r="F495" s="637"/>
      <c r="G495" s="637"/>
      <c r="H495" s="637"/>
      <c r="I495" s="637"/>
      <c r="J495" s="637"/>
    </row>
    <row r="496" spans="1:10" x14ac:dyDescent="0.2">
      <c r="A496" s="626"/>
      <c r="B496" s="637"/>
      <c r="C496" s="637"/>
      <c r="D496" s="637"/>
      <c r="E496" s="637"/>
      <c r="F496" s="637"/>
      <c r="G496" s="637"/>
      <c r="H496" s="637"/>
      <c r="I496" s="637"/>
      <c r="J496" s="637"/>
    </row>
    <row r="497" spans="1:10" x14ac:dyDescent="0.2">
      <c r="A497" s="626"/>
      <c r="B497" s="637"/>
      <c r="C497" s="637"/>
      <c r="D497" s="637"/>
      <c r="E497" s="637"/>
      <c r="F497" s="637"/>
      <c r="G497" s="637"/>
      <c r="H497" s="637"/>
      <c r="I497" s="637"/>
      <c r="J497" s="637"/>
    </row>
    <row r="498" spans="1:10" x14ac:dyDescent="0.2">
      <c r="A498" s="626"/>
      <c r="B498" s="637"/>
      <c r="C498" s="637"/>
      <c r="D498" s="637"/>
      <c r="E498" s="637"/>
      <c r="F498" s="637"/>
      <c r="G498" s="637"/>
      <c r="H498" s="637"/>
      <c r="I498" s="637"/>
      <c r="J498" s="637"/>
    </row>
    <row r="499" spans="1:10" x14ac:dyDescent="0.2">
      <c r="A499" s="626"/>
      <c r="B499" s="637"/>
      <c r="C499" s="637"/>
      <c r="D499" s="637"/>
      <c r="E499" s="637"/>
      <c r="F499" s="637"/>
      <c r="G499" s="637"/>
      <c r="H499" s="637"/>
      <c r="I499" s="637"/>
      <c r="J499" s="637"/>
    </row>
    <row r="500" spans="1:10" x14ac:dyDescent="0.2">
      <c r="A500" s="626"/>
      <c r="B500" s="637"/>
      <c r="C500" s="637"/>
      <c r="D500" s="637"/>
      <c r="E500" s="637"/>
      <c r="F500" s="637"/>
      <c r="G500" s="637"/>
      <c r="H500" s="637"/>
      <c r="I500" s="637"/>
      <c r="J500" s="637"/>
    </row>
    <row r="501" spans="1:10" x14ac:dyDescent="0.2">
      <c r="A501" s="626"/>
      <c r="B501" s="637"/>
      <c r="C501" s="637"/>
      <c r="D501" s="637"/>
      <c r="E501" s="637"/>
      <c r="F501" s="637"/>
      <c r="G501" s="637"/>
      <c r="H501" s="637"/>
      <c r="I501" s="637"/>
      <c r="J501" s="637"/>
    </row>
    <row r="502" spans="1:10" x14ac:dyDescent="0.2">
      <c r="A502" s="626"/>
      <c r="B502" s="637"/>
      <c r="C502" s="637"/>
      <c r="D502" s="637"/>
      <c r="E502" s="637"/>
      <c r="F502" s="637"/>
      <c r="G502" s="637"/>
      <c r="H502" s="637"/>
      <c r="I502" s="637"/>
      <c r="J502" s="637"/>
    </row>
    <row r="503" spans="1:10" x14ac:dyDescent="0.2">
      <c r="A503" s="626"/>
      <c r="B503" s="637"/>
      <c r="C503" s="637"/>
      <c r="D503" s="637"/>
      <c r="E503" s="637"/>
      <c r="F503" s="637"/>
      <c r="G503" s="637"/>
      <c r="H503" s="637"/>
      <c r="I503" s="637"/>
      <c r="J503" s="637"/>
    </row>
    <row r="504" spans="1:10" x14ac:dyDescent="0.2">
      <c r="A504" s="626"/>
      <c r="B504" s="637"/>
      <c r="C504" s="637"/>
      <c r="D504" s="637"/>
      <c r="E504" s="637"/>
      <c r="F504" s="637"/>
      <c r="G504" s="637"/>
      <c r="H504" s="637"/>
      <c r="I504" s="637"/>
      <c r="J504" s="637"/>
    </row>
    <row r="505" spans="1:10" x14ac:dyDescent="0.2">
      <c r="A505" s="626"/>
      <c r="B505" s="637"/>
      <c r="C505" s="637"/>
      <c r="D505" s="637"/>
      <c r="E505" s="637"/>
      <c r="F505" s="637"/>
      <c r="G505" s="637"/>
      <c r="H505" s="637"/>
      <c r="I505" s="637"/>
      <c r="J505" s="637"/>
    </row>
    <row r="506" spans="1:10" x14ac:dyDescent="0.2">
      <c r="A506" s="626"/>
      <c r="B506" s="637"/>
      <c r="C506" s="637"/>
      <c r="D506" s="637"/>
      <c r="E506" s="637"/>
      <c r="F506" s="637"/>
      <c r="G506" s="637"/>
      <c r="H506" s="637"/>
      <c r="I506" s="637"/>
      <c r="J506" s="637"/>
    </row>
    <row r="507" spans="1:10" x14ac:dyDescent="0.2">
      <c r="A507" s="626"/>
      <c r="B507" s="637"/>
      <c r="C507" s="637"/>
      <c r="D507" s="637"/>
      <c r="E507" s="637"/>
      <c r="F507" s="637"/>
      <c r="G507" s="637"/>
      <c r="H507" s="637"/>
      <c r="I507" s="637"/>
      <c r="J507" s="637"/>
    </row>
    <row r="508" spans="1:10" x14ac:dyDescent="0.2">
      <c r="A508" s="626"/>
      <c r="B508" s="637"/>
      <c r="C508" s="637"/>
      <c r="D508" s="637"/>
      <c r="E508" s="637"/>
      <c r="F508" s="637"/>
      <c r="G508" s="637"/>
      <c r="H508" s="637"/>
      <c r="I508" s="637"/>
      <c r="J508" s="637"/>
    </row>
    <row r="509" spans="1:10" x14ac:dyDescent="0.2">
      <c r="A509" s="626"/>
      <c r="B509" s="637"/>
      <c r="C509" s="637"/>
      <c r="D509" s="637"/>
      <c r="E509" s="637"/>
      <c r="F509" s="637"/>
      <c r="G509" s="637"/>
      <c r="H509" s="637"/>
      <c r="I509" s="637"/>
      <c r="J509" s="637"/>
    </row>
    <row r="510" spans="1:10" x14ac:dyDescent="0.2">
      <c r="A510" s="626"/>
      <c r="B510" s="637"/>
      <c r="C510" s="637"/>
      <c r="D510" s="637"/>
      <c r="E510" s="637"/>
      <c r="F510" s="637"/>
      <c r="G510" s="637"/>
      <c r="H510" s="637"/>
      <c r="I510" s="637"/>
      <c r="J510" s="637"/>
    </row>
    <row r="511" spans="1:10" x14ac:dyDescent="0.2">
      <c r="A511" s="626"/>
      <c r="B511" s="637"/>
      <c r="C511" s="637"/>
      <c r="D511" s="637"/>
      <c r="E511" s="637"/>
      <c r="F511" s="637"/>
      <c r="G511" s="637"/>
      <c r="H511" s="637"/>
      <c r="I511" s="637"/>
      <c r="J511" s="637"/>
    </row>
    <row r="512" spans="1:10" x14ac:dyDescent="0.2">
      <c r="A512" s="626"/>
      <c r="B512" s="637"/>
      <c r="C512" s="637"/>
      <c r="D512" s="637"/>
      <c r="E512" s="637"/>
      <c r="F512" s="637"/>
      <c r="G512" s="637"/>
      <c r="H512" s="637"/>
      <c r="I512" s="637"/>
      <c r="J512" s="637"/>
    </row>
    <row r="513" spans="1:10" x14ac:dyDescent="0.2">
      <c r="A513" s="626"/>
      <c r="B513" s="637"/>
      <c r="C513" s="637"/>
      <c r="D513" s="637"/>
      <c r="E513" s="637"/>
      <c r="F513" s="637"/>
      <c r="G513" s="637"/>
      <c r="H513" s="637"/>
      <c r="I513" s="637"/>
      <c r="J513" s="637"/>
    </row>
    <row r="514" spans="1:10" x14ac:dyDescent="0.2">
      <c r="A514" s="626"/>
      <c r="B514" s="637"/>
      <c r="C514" s="637"/>
      <c r="D514" s="637"/>
      <c r="E514" s="637"/>
      <c r="F514" s="637"/>
      <c r="G514" s="637"/>
      <c r="H514" s="637"/>
      <c r="I514" s="637"/>
      <c r="J514" s="637"/>
    </row>
    <row r="515" spans="1:10" x14ac:dyDescent="0.2">
      <c r="A515" s="626"/>
      <c r="B515" s="637"/>
      <c r="C515" s="637"/>
      <c r="D515" s="637"/>
      <c r="E515" s="637"/>
      <c r="F515" s="637"/>
      <c r="G515" s="637"/>
      <c r="H515" s="637"/>
      <c r="I515" s="637"/>
      <c r="J515" s="637"/>
    </row>
    <row r="516" spans="1:10" x14ac:dyDescent="0.2">
      <c r="A516" s="626"/>
      <c r="B516" s="637"/>
      <c r="C516" s="637"/>
      <c r="D516" s="637"/>
      <c r="E516" s="637"/>
      <c r="F516" s="637"/>
      <c r="G516" s="637"/>
      <c r="H516" s="637"/>
      <c r="I516" s="637"/>
      <c r="J516" s="637"/>
    </row>
    <row r="517" spans="1:10" x14ac:dyDescent="0.2">
      <c r="A517" s="626"/>
      <c r="B517" s="637"/>
      <c r="C517" s="637"/>
      <c r="D517" s="637"/>
      <c r="E517" s="637"/>
      <c r="F517" s="637"/>
      <c r="G517" s="637"/>
      <c r="H517" s="637"/>
      <c r="I517" s="637"/>
      <c r="J517" s="637"/>
    </row>
    <row r="518" spans="1:10" x14ac:dyDescent="0.2">
      <c r="A518" s="626"/>
      <c r="B518" s="637"/>
      <c r="C518" s="637"/>
      <c r="D518" s="637"/>
      <c r="E518" s="637"/>
      <c r="F518" s="637"/>
      <c r="G518" s="637"/>
      <c r="H518" s="637"/>
      <c r="I518" s="637"/>
      <c r="J518" s="637"/>
    </row>
    <row r="519" spans="1:10" x14ac:dyDescent="0.2">
      <c r="A519" s="626"/>
      <c r="B519" s="637"/>
      <c r="C519" s="637"/>
      <c r="D519" s="637"/>
      <c r="E519" s="637"/>
      <c r="F519" s="637"/>
      <c r="G519" s="637"/>
      <c r="H519" s="637"/>
      <c r="I519" s="637"/>
      <c r="J519" s="637"/>
    </row>
    <row r="520" spans="1:10" x14ac:dyDescent="0.2">
      <c r="A520" s="626"/>
      <c r="B520" s="637"/>
      <c r="C520" s="637"/>
      <c r="D520" s="637"/>
      <c r="E520" s="637"/>
      <c r="F520" s="637"/>
      <c r="G520" s="637"/>
      <c r="H520" s="637"/>
      <c r="I520" s="637"/>
      <c r="J520" s="637"/>
    </row>
    <row r="521" spans="1:10" x14ac:dyDescent="0.2">
      <c r="A521" s="626"/>
      <c r="B521" s="637"/>
      <c r="C521" s="637"/>
      <c r="D521" s="637"/>
      <c r="E521" s="637"/>
      <c r="F521" s="637"/>
      <c r="G521" s="637"/>
      <c r="H521" s="637"/>
      <c r="I521" s="637"/>
      <c r="J521" s="637"/>
    </row>
    <row r="522" spans="1:10" x14ac:dyDescent="0.2">
      <c r="A522" s="626"/>
      <c r="B522" s="637"/>
      <c r="C522" s="637"/>
      <c r="D522" s="637"/>
      <c r="E522" s="637"/>
      <c r="F522" s="637"/>
      <c r="G522" s="637"/>
      <c r="H522" s="637"/>
      <c r="I522" s="637"/>
      <c r="J522" s="637"/>
    </row>
    <row r="523" spans="1:10" x14ac:dyDescent="0.2">
      <c r="A523" s="626"/>
      <c r="B523" s="637"/>
      <c r="C523" s="637"/>
      <c r="D523" s="637"/>
      <c r="E523" s="637"/>
      <c r="F523" s="637"/>
      <c r="G523" s="637"/>
      <c r="H523" s="637"/>
      <c r="I523" s="637"/>
      <c r="J523" s="637"/>
    </row>
    <row r="524" spans="1:10" x14ac:dyDescent="0.2">
      <c r="A524" s="626"/>
      <c r="B524" s="637"/>
      <c r="C524" s="637"/>
      <c r="D524" s="637"/>
      <c r="E524" s="637"/>
      <c r="F524" s="637"/>
      <c r="G524" s="637"/>
      <c r="H524" s="637"/>
      <c r="I524" s="637"/>
      <c r="J524" s="637"/>
    </row>
    <row r="525" spans="1:10" x14ac:dyDescent="0.2">
      <c r="A525" s="626"/>
      <c r="B525" s="637"/>
      <c r="C525" s="637"/>
      <c r="D525" s="637"/>
      <c r="E525" s="637"/>
      <c r="F525" s="637"/>
      <c r="G525" s="637"/>
      <c r="H525" s="637"/>
      <c r="I525" s="637"/>
      <c r="J525" s="637"/>
    </row>
    <row r="526" spans="1:10" x14ac:dyDescent="0.2">
      <c r="A526" s="626"/>
      <c r="B526" s="637"/>
      <c r="C526" s="637"/>
      <c r="D526" s="637"/>
      <c r="E526" s="637"/>
      <c r="F526" s="637"/>
      <c r="G526" s="637"/>
      <c r="H526" s="637"/>
      <c r="I526" s="637"/>
      <c r="J526" s="637"/>
    </row>
    <row r="527" spans="1:10" x14ac:dyDescent="0.2">
      <c r="A527" s="626"/>
      <c r="B527" s="637"/>
      <c r="C527" s="637"/>
      <c r="D527" s="637"/>
      <c r="E527" s="637"/>
      <c r="F527" s="637"/>
      <c r="G527" s="637"/>
      <c r="H527" s="637"/>
      <c r="I527" s="637"/>
      <c r="J527" s="637"/>
    </row>
    <row r="528" spans="1:10" x14ac:dyDescent="0.2">
      <c r="A528" s="626"/>
      <c r="B528" s="637"/>
      <c r="C528" s="637"/>
      <c r="D528" s="637"/>
      <c r="E528" s="637"/>
      <c r="F528" s="637"/>
      <c r="G528" s="637"/>
      <c r="H528" s="637"/>
      <c r="I528" s="637"/>
      <c r="J528" s="637"/>
    </row>
    <row r="529" spans="1:10" x14ac:dyDescent="0.2">
      <c r="A529" s="626"/>
      <c r="B529" s="637"/>
      <c r="C529" s="637"/>
      <c r="D529" s="637"/>
      <c r="E529" s="637"/>
      <c r="F529" s="637"/>
      <c r="G529" s="637"/>
      <c r="H529" s="637"/>
      <c r="I529" s="637"/>
      <c r="J529" s="637"/>
    </row>
    <row r="530" spans="1:10" x14ac:dyDescent="0.2">
      <c r="A530" s="626"/>
      <c r="B530" s="637"/>
      <c r="C530" s="637"/>
      <c r="D530" s="637"/>
      <c r="E530" s="637"/>
      <c r="F530" s="637"/>
      <c r="G530" s="637"/>
      <c r="H530" s="637"/>
      <c r="I530" s="637"/>
      <c r="J530" s="637"/>
    </row>
    <row r="531" spans="1:10" x14ac:dyDescent="0.2">
      <c r="A531" s="626"/>
      <c r="B531" s="637"/>
      <c r="C531" s="637"/>
      <c r="D531" s="637"/>
      <c r="E531" s="637"/>
      <c r="F531" s="637"/>
      <c r="G531" s="637"/>
      <c r="H531" s="637"/>
      <c r="I531" s="637"/>
      <c r="J531" s="637"/>
    </row>
    <row r="532" spans="1:10" x14ac:dyDescent="0.2">
      <c r="A532" s="626"/>
      <c r="B532" s="637"/>
      <c r="C532" s="637"/>
      <c r="D532" s="637"/>
      <c r="E532" s="637"/>
      <c r="F532" s="637"/>
      <c r="G532" s="637"/>
      <c r="H532" s="637"/>
      <c r="I532" s="637"/>
      <c r="J532" s="637"/>
    </row>
    <row r="533" spans="1:10" x14ac:dyDescent="0.2">
      <c r="A533" s="626"/>
      <c r="B533" s="637"/>
      <c r="C533" s="637"/>
      <c r="D533" s="637"/>
      <c r="E533" s="637"/>
      <c r="F533" s="637"/>
      <c r="G533" s="637"/>
      <c r="H533" s="637"/>
      <c r="I533" s="637"/>
      <c r="J533" s="637"/>
    </row>
    <row r="534" spans="1:10" x14ac:dyDescent="0.2">
      <c r="A534" s="626"/>
      <c r="B534" s="637"/>
      <c r="C534" s="637"/>
      <c r="D534" s="637"/>
      <c r="E534" s="637"/>
      <c r="F534" s="637"/>
      <c r="G534" s="637"/>
      <c r="H534" s="637"/>
      <c r="I534" s="637"/>
      <c r="J534" s="637"/>
    </row>
    <row r="535" spans="1:10" x14ac:dyDescent="0.2">
      <c r="A535" s="626"/>
      <c r="B535" s="637"/>
      <c r="C535" s="637"/>
      <c r="D535" s="637"/>
      <c r="E535" s="637"/>
      <c r="F535" s="637"/>
      <c r="G535" s="637"/>
      <c r="H535" s="637"/>
      <c r="I535" s="637"/>
      <c r="J535" s="637"/>
    </row>
    <row r="536" spans="1:10" x14ac:dyDescent="0.2">
      <c r="A536" s="626"/>
      <c r="B536" s="637"/>
      <c r="C536" s="637"/>
      <c r="D536" s="637"/>
      <c r="E536" s="637"/>
      <c r="F536" s="637"/>
      <c r="G536" s="637"/>
      <c r="H536" s="637"/>
      <c r="I536" s="637"/>
      <c r="J536" s="637"/>
    </row>
    <row r="537" spans="1:10" x14ac:dyDescent="0.2">
      <c r="A537" s="626"/>
      <c r="B537" s="637"/>
      <c r="C537" s="637"/>
      <c r="D537" s="637"/>
      <c r="E537" s="637"/>
      <c r="F537" s="637"/>
      <c r="G537" s="637"/>
      <c r="H537" s="637"/>
      <c r="I537" s="637"/>
      <c r="J537" s="637"/>
    </row>
    <row r="538" spans="1:10" x14ac:dyDescent="0.2">
      <c r="A538" s="626"/>
      <c r="B538" s="637"/>
      <c r="C538" s="637"/>
      <c r="D538" s="637"/>
      <c r="E538" s="637"/>
      <c r="F538" s="637"/>
      <c r="G538" s="637"/>
      <c r="H538" s="637"/>
      <c r="I538" s="637"/>
      <c r="J538" s="637"/>
    </row>
    <row r="539" spans="1:10" x14ac:dyDescent="0.2">
      <c r="A539" s="626"/>
      <c r="B539" s="637"/>
      <c r="C539" s="637"/>
      <c r="D539" s="637"/>
      <c r="E539" s="637"/>
      <c r="F539" s="637"/>
      <c r="G539" s="637"/>
      <c r="H539" s="637"/>
      <c r="I539" s="637"/>
      <c r="J539" s="637"/>
    </row>
    <row r="540" spans="1:10" x14ac:dyDescent="0.2">
      <c r="A540" s="626"/>
      <c r="B540" s="637"/>
      <c r="C540" s="637"/>
      <c r="D540" s="637"/>
      <c r="E540" s="637"/>
      <c r="F540" s="637"/>
      <c r="G540" s="637"/>
      <c r="H540" s="637"/>
      <c r="I540" s="637"/>
      <c r="J540" s="637"/>
    </row>
    <row r="541" spans="1:10" x14ac:dyDescent="0.2">
      <c r="A541" s="626"/>
      <c r="B541" s="637"/>
      <c r="C541" s="637"/>
      <c r="D541" s="637"/>
      <c r="E541" s="637"/>
      <c r="F541" s="637"/>
      <c r="G541" s="637"/>
      <c r="H541" s="637"/>
      <c r="I541" s="637"/>
      <c r="J541" s="637"/>
    </row>
    <row r="542" spans="1:10" x14ac:dyDescent="0.2">
      <c r="A542" s="626"/>
      <c r="B542" s="637"/>
      <c r="C542" s="637"/>
      <c r="D542" s="637"/>
      <c r="E542" s="637"/>
      <c r="F542" s="637"/>
      <c r="G542" s="637"/>
      <c r="H542" s="637"/>
      <c r="I542" s="637"/>
      <c r="J542" s="637"/>
    </row>
    <row r="543" spans="1:10" x14ac:dyDescent="0.2">
      <c r="A543" s="626"/>
      <c r="B543" s="637"/>
      <c r="C543" s="637"/>
      <c r="D543" s="637"/>
      <c r="E543" s="637"/>
      <c r="F543" s="637"/>
      <c r="G543" s="637"/>
      <c r="H543" s="637"/>
      <c r="I543" s="637"/>
      <c r="J543" s="637"/>
    </row>
    <row r="544" spans="1:10" x14ac:dyDescent="0.2">
      <c r="A544" s="626"/>
      <c r="B544" s="637"/>
      <c r="C544" s="637"/>
      <c r="D544" s="637"/>
      <c r="E544" s="637"/>
      <c r="F544" s="637"/>
      <c r="G544" s="637"/>
      <c r="H544" s="637"/>
      <c r="I544" s="637"/>
      <c r="J544" s="637"/>
    </row>
    <row r="545" spans="1:10" x14ac:dyDescent="0.2">
      <c r="A545" s="626"/>
      <c r="B545" s="637"/>
      <c r="C545" s="637"/>
      <c r="D545" s="637"/>
      <c r="E545" s="637"/>
      <c r="F545" s="637"/>
      <c r="G545" s="637"/>
      <c r="H545" s="637"/>
      <c r="I545" s="637"/>
      <c r="J545" s="637"/>
    </row>
    <row r="546" spans="1:10" x14ac:dyDescent="0.2">
      <c r="A546" s="626"/>
      <c r="B546" s="637"/>
      <c r="C546" s="637"/>
      <c r="D546" s="637"/>
      <c r="E546" s="637"/>
      <c r="F546" s="637"/>
      <c r="G546" s="637"/>
      <c r="H546" s="637"/>
      <c r="I546" s="637"/>
      <c r="J546" s="637"/>
    </row>
    <row r="547" spans="1:10" x14ac:dyDescent="0.2">
      <c r="A547" s="626"/>
      <c r="B547" s="637"/>
      <c r="C547" s="637"/>
      <c r="D547" s="637"/>
      <c r="E547" s="637"/>
      <c r="F547" s="637"/>
      <c r="G547" s="637"/>
      <c r="H547" s="637"/>
      <c r="I547" s="637"/>
      <c r="J547" s="637"/>
    </row>
    <row r="548" spans="1:10" x14ac:dyDescent="0.2">
      <c r="A548" s="626"/>
      <c r="B548" s="637"/>
      <c r="C548" s="637"/>
      <c r="D548" s="637"/>
      <c r="E548" s="637"/>
      <c r="F548" s="637"/>
      <c r="G548" s="637"/>
      <c r="H548" s="637"/>
      <c r="I548" s="637"/>
      <c r="J548" s="637"/>
    </row>
    <row r="549" spans="1:10" x14ac:dyDescent="0.2">
      <c r="A549" s="626"/>
      <c r="B549" s="637"/>
      <c r="C549" s="637"/>
      <c r="D549" s="637"/>
      <c r="E549" s="637"/>
      <c r="F549" s="637"/>
      <c r="G549" s="637"/>
      <c r="H549" s="637"/>
      <c r="I549" s="637"/>
      <c r="J549" s="637"/>
    </row>
    <row r="550" spans="1:10" x14ac:dyDescent="0.2">
      <c r="A550" s="626"/>
      <c r="B550" s="637"/>
      <c r="C550" s="637"/>
      <c r="D550" s="637"/>
      <c r="E550" s="637"/>
      <c r="F550" s="637"/>
      <c r="G550" s="637"/>
      <c r="H550" s="637"/>
      <c r="I550" s="637"/>
      <c r="J550" s="637"/>
    </row>
    <row r="551" spans="1:10" x14ac:dyDescent="0.2">
      <c r="A551" s="626"/>
      <c r="B551" s="637"/>
      <c r="C551" s="637"/>
      <c r="D551" s="637"/>
      <c r="E551" s="637"/>
      <c r="F551" s="637"/>
      <c r="G551" s="637"/>
      <c r="H551" s="637"/>
      <c r="I551" s="637"/>
      <c r="J551" s="637"/>
    </row>
    <row r="552" spans="1:10" x14ac:dyDescent="0.2">
      <c r="A552" s="626"/>
      <c r="B552" s="637"/>
      <c r="C552" s="637"/>
      <c r="D552" s="637"/>
      <c r="E552" s="637"/>
      <c r="F552" s="637"/>
      <c r="G552" s="637"/>
      <c r="H552" s="637"/>
      <c r="I552" s="637"/>
      <c r="J552" s="637"/>
    </row>
    <row r="553" spans="1:10" x14ac:dyDescent="0.2">
      <c r="A553" s="626"/>
      <c r="B553" s="637"/>
      <c r="C553" s="637"/>
      <c r="D553" s="637"/>
      <c r="E553" s="637"/>
      <c r="F553" s="637"/>
      <c r="G553" s="637"/>
      <c r="H553" s="637"/>
      <c r="I553" s="637"/>
      <c r="J553" s="637"/>
    </row>
    <row r="554" spans="1:10" x14ac:dyDescent="0.2">
      <c r="A554" s="626"/>
      <c r="B554" s="637"/>
      <c r="C554" s="637"/>
      <c r="D554" s="637"/>
      <c r="E554" s="637"/>
      <c r="F554" s="637"/>
      <c r="G554" s="637"/>
      <c r="H554" s="637"/>
      <c r="I554" s="637"/>
      <c r="J554" s="637"/>
    </row>
    <row r="555" spans="1:10" x14ac:dyDescent="0.2">
      <c r="A555" s="626"/>
      <c r="B555" s="637"/>
      <c r="C555" s="637"/>
      <c r="D555" s="637"/>
      <c r="E555" s="637"/>
      <c r="F555" s="637"/>
      <c r="G555" s="637"/>
      <c r="H555" s="637"/>
      <c r="I555" s="637"/>
      <c r="J555" s="637"/>
    </row>
    <row r="556" spans="1:10" x14ac:dyDescent="0.2">
      <c r="A556" s="626"/>
      <c r="B556" s="637"/>
      <c r="C556" s="637"/>
      <c r="D556" s="637"/>
      <c r="E556" s="637"/>
      <c r="F556" s="637"/>
      <c r="G556" s="637"/>
      <c r="H556" s="637"/>
      <c r="I556" s="637"/>
      <c r="J556" s="637"/>
    </row>
    <row r="557" spans="1:10" x14ac:dyDescent="0.2">
      <c r="A557" s="626"/>
      <c r="B557" s="637"/>
      <c r="C557" s="637"/>
      <c r="D557" s="637"/>
      <c r="E557" s="637"/>
      <c r="F557" s="637"/>
      <c r="G557" s="637"/>
      <c r="H557" s="637"/>
      <c r="I557" s="637"/>
      <c r="J557" s="637"/>
    </row>
    <row r="558" spans="1:10" x14ac:dyDescent="0.2">
      <c r="A558" s="626"/>
      <c r="B558" s="637"/>
      <c r="C558" s="637"/>
      <c r="D558" s="637"/>
      <c r="E558" s="637"/>
      <c r="F558" s="637"/>
      <c r="G558" s="637"/>
      <c r="H558" s="637"/>
      <c r="I558" s="637"/>
      <c r="J558" s="637"/>
    </row>
    <row r="559" spans="1:10" x14ac:dyDescent="0.2">
      <c r="A559" s="626"/>
      <c r="B559" s="637"/>
      <c r="C559" s="637"/>
      <c r="D559" s="637"/>
      <c r="E559" s="637"/>
      <c r="F559" s="637"/>
      <c r="G559" s="637"/>
      <c r="H559" s="637"/>
      <c r="I559" s="637"/>
      <c r="J559" s="637"/>
    </row>
    <row r="560" spans="1:10" x14ac:dyDescent="0.2">
      <c r="A560" s="626"/>
      <c r="B560" s="637"/>
      <c r="C560" s="637"/>
      <c r="D560" s="637"/>
      <c r="E560" s="637"/>
      <c r="F560" s="637"/>
      <c r="G560" s="637"/>
      <c r="H560" s="637"/>
      <c r="I560" s="637"/>
      <c r="J560" s="637"/>
    </row>
    <row r="561" spans="1:10" x14ac:dyDescent="0.2">
      <c r="A561" s="626"/>
      <c r="B561" s="637"/>
      <c r="C561" s="637"/>
      <c r="D561" s="637"/>
      <c r="E561" s="637"/>
      <c r="F561" s="637"/>
      <c r="G561" s="637"/>
      <c r="H561" s="637"/>
      <c r="I561" s="637"/>
      <c r="J561" s="637"/>
    </row>
    <row r="562" spans="1:10" x14ac:dyDescent="0.2">
      <c r="A562" s="626"/>
      <c r="B562" s="637"/>
      <c r="C562" s="637"/>
      <c r="D562" s="637"/>
      <c r="E562" s="637"/>
      <c r="F562" s="637"/>
      <c r="G562" s="637"/>
      <c r="H562" s="637"/>
      <c r="I562" s="637"/>
      <c r="J562" s="637"/>
    </row>
    <row r="563" spans="1:10" x14ac:dyDescent="0.2">
      <c r="A563" s="626"/>
      <c r="B563" s="637"/>
      <c r="C563" s="637"/>
      <c r="D563" s="637"/>
      <c r="E563" s="637"/>
      <c r="F563" s="637"/>
      <c r="G563" s="637"/>
      <c r="H563" s="637"/>
      <c r="I563" s="637"/>
      <c r="J563" s="637"/>
    </row>
    <row r="564" spans="1:10" x14ac:dyDescent="0.2">
      <c r="A564" s="626"/>
      <c r="B564" s="637"/>
      <c r="C564" s="637"/>
      <c r="D564" s="637"/>
      <c r="E564" s="637"/>
      <c r="F564" s="637"/>
      <c r="G564" s="637"/>
      <c r="H564" s="637"/>
      <c r="I564" s="637"/>
      <c r="J564" s="637"/>
    </row>
    <row r="565" spans="1:10" x14ac:dyDescent="0.2">
      <c r="A565" s="626"/>
      <c r="B565" s="637"/>
      <c r="C565" s="637"/>
      <c r="D565" s="637"/>
      <c r="E565" s="637"/>
      <c r="F565" s="637"/>
      <c r="G565" s="637"/>
      <c r="H565" s="637"/>
      <c r="I565" s="637"/>
      <c r="J565" s="637"/>
    </row>
    <row r="566" spans="1:10" x14ac:dyDescent="0.2">
      <c r="A566" s="626"/>
      <c r="B566" s="637"/>
      <c r="C566" s="637"/>
      <c r="D566" s="637"/>
      <c r="E566" s="637"/>
      <c r="F566" s="637"/>
      <c r="G566" s="637"/>
      <c r="H566" s="637"/>
      <c r="I566" s="637"/>
      <c r="J566" s="637"/>
    </row>
    <row r="567" spans="1:10" x14ac:dyDescent="0.2">
      <c r="A567" s="626"/>
      <c r="B567" s="637"/>
      <c r="C567" s="637"/>
      <c r="D567" s="637"/>
      <c r="E567" s="637"/>
      <c r="F567" s="637"/>
      <c r="G567" s="637"/>
      <c r="H567" s="637"/>
      <c r="I567" s="637"/>
      <c r="J567" s="637"/>
    </row>
    <row r="568" spans="1:10" x14ac:dyDescent="0.2">
      <c r="A568" s="626"/>
      <c r="B568" s="637"/>
      <c r="C568" s="637"/>
      <c r="D568" s="637"/>
      <c r="E568" s="637"/>
      <c r="F568" s="637"/>
      <c r="G568" s="637"/>
      <c r="H568" s="637"/>
      <c r="I568" s="637"/>
      <c r="J568" s="637"/>
    </row>
    <row r="569" spans="1:10" x14ac:dyDescent="0.2">
      <c r="A569" s="626"/>
      <c r="B569" s="637"/>
      <c r="C569" s="637"/>
      <c r="D569" s="637"/>
      <c r="E569" s="637"/>
      <c r="F569" s="637"/>
      <c r="G569" s="637"/>
      <c r="H569" s="637"/>
      <c r="I569" s="637"/>
      <c r="J569" s="637"/>
    </row>
    <row r="570" spans="1:10" x14ac:dyDescent="0.2">
      <c r="A570" s="626"/>
      <c r="B570" s="637"/>
      <c r="C570" s="637"/>
      <c r="D570" s="637"/>
      <c r="E570" s="637"/>
      <c r="F570" s="637"/>
      <c r="G570" s="637"/>
      <c r="H570" s="637"/>
      <c r="I570" s="637"/>
      <c r="J570" s="637"/>
    </row>
    <row r="571" spans="1:10" x14ac:dyDescent="0.2">
      <c r="A571" s="626"/>
      <c r="B571" s="637"/>
      <c r="C571" s="637"/>
      <c r="D571" s="637"/>
      <c r="E571" s="637"/>
      <c r="F571" s="637"/>
      <c r="G571" s="637"/>
      <c r="H571" s="637"/>
      <c r="I571" s="637"/>
      <c r="J571" s="637"/>
    </row>
    <row r="572" spans="1:10" x14ac:dyDescent="0.2">
      <c r="A572" s="626"/>
      <c r="B572" s="637"/>
      <c r="C572" s="637"/>
      <c r="D572" s="637"/>
      <c r="E572" s="637"/>
      <c r="F572" s="637"/>
      <c r="G572" s="637"/>
      <c r="H572" s="637"/>
      <c r="I572" s="637"/>
      <c r="J572" s="637"/>
    </row>
    <row r="573" spans="1:10" x14ac:dyDescent="0.2">
      <c r="A573" s="626"/>
      <c r="B573" s="637"/>
      <c r="C573" s="637"/>
      <c r="D573" s="637"/>
      <c r="E573" s="637"/>
      <c r="F573" s="637"/>
      <c r="G573" s="637"/>
      <c r="H573" s="637"/>
      <c r="I573" s="637"/>
      <c r="J573" s="637"/>
    </row>
    <row r="574" spans="1:10" x14ac:dyDescent="0.2">
      <c r="A574" s="626"/>
      <c r="B574" s="637"/>
      <c r="C574" s="637"/>
      <c r="D574" s="637"/>
      <c r="E574" s="637"/>
      <c r="F574" s="637"/>
      <c r="G574" s="637"/>
      <c r="H574" s="637"/>
      <c r="I574" s="637"/>
      <c r="J574" s="637"/>
    </row>
    <row r="575" spans="1:10" x14ac:dyDescent="0.2">
      <c r="A575" s="626"/>
      <c r="B575" s="637"/>
      <c r="C575" s="637"/>
      <c r="D575" s="637"/>
      <c r="E575" s="637"/>
      <c r="F575" s="637"/>
      <c r="G575" s="637"/>
      <c r="H575" s="637"/>
      <c r="I575" s="637"/>
      <c r="J575" s="637"/>
    </row>
    <row r="576" spans="1:10" x14ac:dyDescent="0.2">
      <c r="A576" s="626"/>
      <c r="B576" s="637"/>
      <c r="C576" s="637"/>
      <c r="D576" s="637"/>
      <c r="E576" s="637"/>
      <c r="F576" s="637"/>
      <c r="G576" s="637"/>
      <c r="H576" s="637"/>
      <c r="I576" s="637"/>
      <c r="J576" s="637"/>
    </row>
    <row r="577" spans="1:10" x14ac:dyDescent="0.2">
      <c r="A577" s="626"/>
      <c r="B577" s="637"/>
      <c r="C577" s="637"/>
      <c r="D577" s="637"/>
      <c r="E577" s="637"/>
      <c r="F577" s="637"/>
      <c r="G577" s="637"/>
      <c r="H577" s="637"/>
      <c r="I577" s="637"/>
      <c r="J577" s="637"/>
    </row>
    <row r="578" spans="1:10" x14ac:dyDescent="0.2">
      <c r="A578" s="626"/>
      <c r="B578" s="637"/>
      <c r="C578" s="637"/>
      <c r="D578" s="637"/>
      <c r="E578" s="637"/>
      <c r="F578" s="637"/>
      <c r="G578" s="637"/>
      <c r="H578" s="637"/>
      <c r="I578" s="637"/>
      <c r="J578" s="637"/>
    </row>
    <row r="579" spans="1:10" x14ac:dyDescent="0.2">
      <c r="A579" s="626"/>
      <c r="B579" s="637"/>
      <c r="C579" s="637"/>
      <c r="D579" s="637"/>
      <c r="E579" s="637"/>
      <c r="F579" s="637"/>
      <c r="G579" s="637"/>
      <c r="H579" s="637"/>
      <c r="I579" s="637"/>
      <c r="J579" s="637"/>
    </row>
    <row r="580" spans="1:10" x14ac:dyDescent="0.2">
      <c r="A580" s="626"/>
      <c r="B580" s="637"/>
      <c r="C580" s="637"/>
      <c r="D580" s="637"/>
      <c r="E580" s="637"/>
      <c r="F580" s="637"/>
      <c r="G580" s="637"/>
      <c r="H580" s="637"/>
      <c r="I580" s="637"/>
      <c r="J580" s="637"/>
    </row>
    <row r="581" spans="1:10" x14ac:dyDescent="0.2">
      <c r="A581" s="626"/>
      <c r="B581" s="637"/>
      <c r="C581" s="637"/>
      <c r="D581" s="637"/>
      <c r="E581" s="637"/>
      <c r="F581" s="637"/>
      <c r="G581" s="637"/>
      <c r="H581" s="637"/>
      <c r="I581" s="637"/>
      <c r="J581" s="637"/>
    </row>
    <row r="582" spans="1:10" x14ac:dyDescent="0.2">
      <c r="A582" s="626"/>
      <c r="B582" s="637"/>
      <c r="C582" s="637"/>
      <c r="D582" s="637"/>
      <c r="E582" s="637"/>
      <c r="F582" s="637"/>
      <c r="G582" s="637"/>
      <c r="H582" s="637"/>
      <c r="I582" s="637"/>
      <c r="J582" s="637"/>
    </row>
    <row r="583" spans="1:10" x14ac:dyDescent="0.2">
      <c r="A583" s="626"/>
      <c r="B583" s="637"/>
      <c r="C583" s="637"/>
      <c r="D583" s="637"/>
      <c r="E583" s="637"/>
      <c r="F583" s="637"/>
      <c r="G583" s="637"/>
      <c r="H583" s="637"/>
      <c r="I583" s="637"/>
      <c r="J583" s="637"/>
    </row>
    <row r="584" spans="1:10" x14ac:dyDescent="0.2">
      <c r="A584" s="626"/>
      <c r="B584" s="637"/>
      <c r="C584" s="637"/>
      <c r="D584" s="637"/>
      <c r="E584" s="637"/>
      <c r="F584" s="637"/>
      <c r="G584" s="637"/>
      <c r="H584" s="637"/>
      <c r="I584" s="637"/>
      <c r="J584" s="637"/>
    </row>
    <row r="585" spans="1:10" x14ac:dyDescent="0.2">
      <c r="A585" s="626"/>
      <c r="B585" s="637"/>
      <c r="C585" s="637"/>
      <c r="D585" s="637"/>
      <c r="E585" s="637"/>
      <c r="F585" s="637"/>
      <c r="G585" s="637"/>
      <c r="H585" s="637"/>
      <c r="I585" s="637"/>
      <c r="J585" s="637"/>
    </row>
    <row r="586" spans="1:10" x14ac:dyDescent="0.2">
      <c r="A586" s="626"/>
      <c r="B586" s="637"/>
      <c r="C586" s="637"/>
      <c r="D586" s="637"/>
      <c r="E586" s="637"/>
      <c r="F586" s="637"/>
      <c r="G586" s="637"/>
      <c r="H586" s="637"/>
      <c r="I586" s="637"/>
      <c r="J586" s="637"/>
    </row>
    <row r="587" spans="1:10" x14ac:dyDescent="0.2">
      <c r="A587" s="626"/>
      <c r="B587" s="637"/>
      <c r="C587" s="637"/>
      <c r="D587" s="637"/>
      <c r="E587" s="637"/>
      <c r="F587" s="637"/>
      <c r="G587" s="637"/>
      <c r="H587" s="637"/>
      <c r="I587" s="637"/>
      <c r="J587" s="637"/>
    </row>
    <row r="588" spans="1:10" x14ac:dyDescent="0.2">
      <c r="A588" s="626"/>
      <c r="B588" s="637"/>
      <c r="C588" s="637"/>
      <c r="D588" s="637"/>
      <c r="E588" s="637"/>
      <c r="F588" s="637"/>
      <c r="G588" s="637"/>
      <c r="H588" s="637"/>
      <c r="I588" s="637"/>
      <c r="J588" s="637"/>
    </row>
    <row r="589" spans="1:10" x14ac:dyDescent="0.2">
      <c r="A589" s="626"/>
      <c r="B589" s="637"/>
      <c r="C589" s="637"/>
      <c r="D589" s="637"/>
      <c r="E589" s="637"/>
      <c r="F589" s="637"/>
      <c r="G589" s="637"/>
      <c r="H589" s="637"/>
      <c r="I589" s="637"/>
      <c r="J589" s="637"/>
    </row>
    <row r="590" spans="1:10" x14ac:dyDescent="0.2">
      <c r="A590" s="626"/>
      <c r="B590" s="637"/>
      <c r="C590" s="637"/>
      <c r="D590" s="637"/>
      <c r="E590" s="637"/>
      <c r="F590" s="637"/>
      <c r="G590" s="637"/>
      <c r="H590" s="637"/>
      <c r="I590" s="637"/>
      <c r="J590" s="637"/>
    </row>
    <row r="591" spans="1:10" x14ac:dyDescent="0.2">
      <c r="A591" s="626"/>
      <c r="B591" s="637"/>
      <c r="C591" s="637"/>
      <c r="D591" s="637"/>
      <c r="E591" s="637"/>
      <c r="F591" s="637"/>
      <c r="G591" s="637"/>
      <c r="H591" s="637"/>
      <c r="I591" s="637"/>
      <c r="J591" s="637"/>
    </row>
    <row r="592" spans="1:10" x14ac:dyDescent="0.2">
      <c r="A592" s="626"/>
      <c r="B592" s="637"/>
      <c r="C592" s="637"/>
      <c r="D592" s="637"/>
      <c r="E592" s="637"/>
      <c r="F592" s="637"/>
      <c r="G592" s="637"/>
      <c r="H592" s="637"/>
      <c r="I592" s="637"/>
      <c r="J592" s="637"/>
    </row>
    <row r="593" spans="1:10" x14ac:dyDescent="0.2">
      <c r="A593" s="626"/>
      <c r="B593" s="637"/>
      <c r="C593" s="637"/>
      <c r="D593" s="637"/>
      <c r="E593" s="637"/>
      <c r="F593" s="637"/>
      <c r="G593" s="637"/>
      <c r="H593" s="637"/>
      <c r="I593" s="637"/>
      <c r="J593" s="637"/>
    </row>
    <row r="594" spans="1:10" x14ac:dyDescent="0.2">
      <c r="A594" s="626"/>
      <c r="B594" s="637"/>
      <c r="C594" s="637"/>
      <c r="D594" s="637"/>
      <c r="E594" s="637"/>
      <c r="F594" s="637"/>
      <c r="G594" s="637"/>
      <c r="H594" s="637"/>
      <c r="I594" s="637"/>
      <c r="J594" s="637"/>
    </row>
    <row r="595" spans="1:10" x14ac:dyDescent="0.2">
      <c r="A595" s="626"/>
      <c r="B595" s="637"/>
      <c r="C595" s="637"/>
      <c r="D595" s="637"/>
      <c r="E595" s="637"/>
      <c r="F595" s="637"/>
      <c r="G595" s="637"/>
      <c r="H595" s="637"/>
      <c r="I595" s="637"/>
      <c r="J595" s="637"/>
    </row>
    <row r="596" spans="1:10" x14ac:dyDescent="0.2">
      <c r="A596" s="626"/>
      <c r="B596" s="637"/>
      <c r="C596" s="637"/>
      <c r="D596" s="637"/>
      <c r="E596" s="637"/>
      <c r="F596" s="637"/>
      <c r="G596" s="637"/>
      <c r="H596" s="637"/>
      <c r="I596" s="637"/>
      <c r="J596" s="637"/>
    </row>
    <row r="597" spans="1:10" x14ac:dyDescent="0.2">
      <c r="A597" s="626"/>
      <c r="B597" s="637"/>
      <c r="C597" s="637"/>
      <c r="D597" s="637"/>
      <c r="E597" s="637"/>
      <c r="F597" s="637"/>
      <c r="G597" s="637"/>
      <c r="H597" s="637"/>
      <c r="I597" s="637"/>
      <c r="J597" s="637"/>
    </row>
    <row r="598" spans="1:10" x14ac:dyDescent="0.2">
      <c r="A598" s="626"/>
      <c r="B598" s="637"/>
      <c r="C598" s="637"/>
      <c r="D598" s="637"/>
      <c r="E598" s="637"/>
      <c r="F598" s="637"/>
      <c r="G598" s="637"/>
      <c r="H598" s="637"/>
      <c r="I598" s="637"/>
      <c r="J598" s="637"/>
    </row>
    <row r="599" spans="1:10" x14ac:dyDescent="0.2">
      <c r="A599" s="626"/>
      <c r="B599" s="637"/>
      <c r="C599" s="637"/>
      <c r="D599" s="637"/>
      <c r="E599" s="637"/>
      <c r="F599" s="637"/>
      <c r="G599" s="637"/>
      <c r="H599" s="637"/>
      <c r="I599" s="637"/>
      <c r="J599" s="637"/>
    </row>
    <row r="600" spans="1:10" x14ac:dyDescent="0.2">
      <c r="A600" s="626"/>
      <c r="B600" s="637"/>
      <c r="C600" s="637"/>
      <c r="D600" s="637"/>
      <c r="E600" s="637"/>
      <c r="F600" s="637"/>
      <c r="G600" s="637"/>
      <c r="H600" s="637"/>
      <c r="I600" s="637"/>
      <c r="J600" s="637"/>
    </row>
    <row r="601" spans="1:10" x14ac:dyDescent="0.2">
      <c r="A601" s="626"/>
      <c r="B601" s="637"/>
      <c r="C601" s="637"/>
      <c r="D601" s="637"/>
      <c r="E601" s="637"/>
      <c r="F601" s="637"/>
      <c r="G601" s="637"/>
      <c r="H601" s="637"/>
      <c r="I601" s="637"/>
      <c r="J601" s="637"/>
    </row>
    <row r="602" spans="1:10" x14ac:dyDescent="0.2">
      <c r="A602" s="626"/>
      <c r="B602" s="637"/>
      <c r="C602" s="637"/>
      <c r="D602" s="637"/>
      <c r="E602" s="637"/>
      <c r="F602" s="637"/>
      <c r="G602" s="637"/>
      <c r="H602" s="637"/>
      <c r="I602" s="637"/>
      <c r="J602" s="637"/>
    </row>
    <row r="603" spans="1:10" x14ac:dyDescent="0.2">
      <c r="A603" s="626"/>
      <c r="B603" s="637"/>
      <c r="C603" s="637"/>
      <c r="D603" s="637"/>
      <c r="E603" s="637"/>
      <c r="F603" s="637"/>
      <c r="G603" s="637"/>
      <c r="H603" s="637"/>
      <c r="I603" s="637"/>
      <c r="J603" s="637"/>
    </row>
    <row r="604" spans="1:10" x14ac:dyDescent="0.2">
      <c r="A604" s="626"/>
      <c r="B604" s="637"/>
      <c r="C604" s="637"/>
      <c r="D604" s="637"/>
      <c r="E604" s="637"/>
      <c r="F604" s="637"/>
      <c r="G604" s="637"/>
      <c r="H604" s="637"/>
      <c r="I604" s="637"/>
      <c r="J604" s="637"/>
    </row>
    <row r="605" spans="1:10" x14ac:dyDescent="0.2">
      <c r="A605" s="626"/>
      <c r="B605" s="637"/>
      <c r="C605" s="637"/>
      <c r="D605" s="637"/>
      <c r="E605" s="637"/>
      <c r="F605" s="637"/>
      <c r="G605" s="637"/>
      <c r="H605" s="637"/>
      <c r="I605" s="637"/>
      <c r="J605" s="637"/>
    </row>
    <row r="606" spans="1:10" x14ac:dyDescent="0.2">
      <c r="A606" s="626"/>
      <c r="B606" s="637"/>
      <c r="C606" s="637"/>
      <c r="D606" s="637"/>
      <c r="E606" s="637"/>
      <c r="F606" s="637"/>
      <c r="G606" s="637"/>
      <c r="H606" s="637"/>
      <c r="I606" s="637"/>
      <c r="J606" s="637"/>
    </row>
    <row r="607" spans="1:10" x14ac:dyDescent="0.2">
      <c r="A607" s="626"/>
      <c r="B607" s="637"/>
      <c r="C607" s="637"/>
      <c r="D607" s="637"/>
      <c r="E607" s="637"/>
      <c r="F607" s="637"/>
      <c r="G607" s="637"/>
      <c r="H607" s="637"/>
      <c r="I607" s="637"/>
      <c r="J607" s="637"/>
    </row>
    <row r="608" spans="1:10" x14ac:dyDescent="0.2">
      <c r="A608" s="626"/>
      <c r="B608" s="637"/>
      <c r="C608" s="637"/>
      <c r="D608" s="637"/>
      <c r="E608" s="637"/>
      <c r="F608" s="637"/>
      <c r="G608" s="637"/>
      <c r="H608" s="637"/>
      <c r="I608" s="637"/>
      <c r="J608" s="637"/>
    </row>
    <row r="609" spans="1:10" x14ac:dyDescent="0.2">
      <c r="A609" s="626"/>
      <c r="B609" s="637"/>
      <c r="C609" s="637"/>
      <c r="D609" s="637"/>
      <c r="E609" s="637"/>
      <c r="F609" s="637"/>
      <c r="G609" s="637"/>
      <c r="H609" s="637"/>
      <c r="I609" s="637"/>
      <c r="J609" s="637"/>
    </row>
    <row r="610" spans="1:10" x14ac:dyDescent="0.2">
      <c r="A610" s="626"/>
      <c r="B610" s="637"/>
      <c r="C610" s="637"/>
      <c r="D610" s="637"/>
      <c r="E610" s="637"/>
      <c r="F610" s="637"/>
      <c r="G610" s="637"/>
      <c r="H610" s="637"/>
      <c r="I610" s="637"/>
      <c r="J610" s="637"/>
    </row>
    <row r="611" spans="1:10" x14ac:dyDescent="0.2">
      <c r="A611" s="626"/>
      <c r="B611" s="637"/>
      <c r="C611" s="637"/>
      <c r="D611" s="637"/>
      <c r="E611" s="637"/>
      <c r="F611" s="637"/>
      <c r="G611" s="637"/>
      <c r="H611" s="637"/>
      <c r="I611" s="637"/>
      <c r="J611" s="637"/>
    </row>
    <row r="612" spans="1:10" x14ac:dyDescent="0.2">
      <c r="A612" s="626"/>
      <c r="B612" s="637"/>
      <c r="C612" s="637"/>
      <c r="D612" s="637"/>
      <c r="E612" s="637"/>
      <c r="F612" s="637"/>
      <c r="G612" s="637"/>
      <c r="H612" s="637"/>
      <c r="I612" s="637"/>
      <c r="J612" s="637"/>
    </row>
    <row r="613" spans="1:10" x14ac:dyDescent="0.2">
      <c r="A613" s="626"/>
      <c r="B613" s="637"/>
      <c r="C613" s="637"/>
      <c r="D613" s="637"/>
      <c r="E613" s="637"/>
      <c r="F613" s="637"/>
      <c r="G613" s="637"/>
      <c r="H613" s="637"/>
      <c r="I613" s="637"/>
      <c r="J613" s="637"/>
    </row>
    <row r="614" spans="1:10" x14ac:dyDescent="0.2">
      <c r="A614" s="626"/>
      <c r="B614" s="637"/>
      <c r="C614" s="637"/>
      <c r="D614" s="637"/>
      <c r="E614" s="637"/>
      <c r="F614" s="637"/>
      <c r="G614" s="637"/>
      <c r="H614" s="637"/>
      <c r="I614" s="637"/>
      <c r="J614" s="637"/>
    </row>
    <row r="615" spans="1:10" x14ac:dyDescent="0.2">
      <c r="A615" s="626"/>
      <c r="B615" s="637"/>
      <c r="C615" s="637"/>
      <c r="D615" s="637"/>
      <c r="E615" s="637"/>
      <c r="F615" s="637"/>
      <c r="G615" s="637"/>
      <c r="H615" s="637"/>
      <c r="I615" s="637"/>
      <c r="J615" s="637"/>
    </row>
    <row r="616" spans="1:10" x14ac:dyDescent="0.2">
      <c r="A616" s="626"/>
      <c r="B616" s="637"/>
      <c r="C616" s="637"/>
      <c r="D616" s="637"/>
      <c r="E616" s="637"/>
      <c r="F616" s="637"/>
      <c r="G616" s="637"/>
      <c r="H616" s="637"/>
      <c r="I616" s="637"/>
      <c r="J616" s="637"/>
    </row>
    <row r="617" spans="1:10" x14ac:dyDescent="0.2">
      <c r="A617" s="626"/>
      <c r="B617" s="637"/>
      <c r="C617" s="637"/>
      <c r="D617" s="637"/>
      <c r="E617" s="637"/>
      <c r="F617" s="637"/>
      <c r="G617" s="637"/>
      <c r="H617" s="637"/>
      <c r="I617" s="637"/>
      <c r="J617" s="637"/>
    </row>
    <row r="618" spans="1:10" x14ac:dyDescent="0.2">
      <c r="A618" s="626"/>
      <c r="B618" s="637"/>
      <c r="C618" s="637"/>
      <c r="D618" s="637"/>
      <c r="E618" s="637"/>
      <c r="F618" s="637"/>
      <c r="G618" s="637"/>
      <c r="H618" s="637"/>
      <c r="I618" s="637"/>
      <c r="J618" s="637"/>
    </row>
    <row r="619" spans="1:10" x14ac:dyDescent="0.2">
      <c r="A619" s="626"/>
      <c r="B619" s="637"/>
      <c r="C619" s="637"/>
      <c r="D619" s="637"/>
      <c r="E619" s="637"/>
      <c r="F619" s="637"/>
      <c r="G619" s="637"/>
      <c r="H619" s="637"/>
      <c r="I619" s="637"/>
      <c r="J619" s="637"/>
    </row>
    <row r="620" spans="1:10" x14ac:dyDescent="0.2">
      <c r="A620" s="626"/>
      <c r="B620" s="637"/>
      <c r="C620" s="637"/>
      <c r="D620" s="637"/>
      <c r="E620" s="637"/>
      <c r="F620" s="637"/>
      <c r="G620" s="637"/>
      <c r="H620" s="637"/>
      <c r="I620" s="637"/>
      <c r="J620" s="637"/>
    </row>
    <row r="621" spans="1:10" x14ac:dyDescent="0.2">
      <c r="A621" s="626"/>
      <c r="B621" s="637"/>
      <c r="C621" s="637"/>
      <c r="D621" s="637"/>
      <c r="E621" s="637"/>
      <c r="F621" s="637"/>
      <c r="G621" s="637"/>
      <c r="H621" s="637"/>
      <c r="I621" s="637"/>
      <c r="J621" s="637"/>
    </row>
    <row r="622" spans="1:10" x14ac:dyDescent="0.2">
      <c r="A622" s="626"/>
      <c r="B622" s="637"/>
      <c r="C622" s="637"/>
      <c r="D622" s="637"/>
      <c r="E622" s="637"/>
      <c r="F622" s="637"/>
      <c r="G622" s="637"/>
      <c r="H622" s="637"/>
      <c r="I622" s="637"/>
      <c r="J622" s="637"/>
    </row>
    <row r="623" spans="1:10" x14ac:dyDescent="0.2">
      <c r="A623" s="626"/>
      <c r="B623" s="637"/>
      <c r="C623" s="637"/>
      <c r="D623" s="637"/>
      <c r="E623" s="637"/>
      <c r="F623" s="637"/>
      <c r="G623" s="637"/>
      <c r="H623" s="637"/>
      <c r="I623" s="637"/>
      <c r="J623" s="637"/>
    </row>
    <row r="624" spans="1:10" x14ac:dyDescent="0.2">
      <c r="A624" s="626"/>
      <c r="B624" s="637"/>
      <c r="C624" s="637"/>
      <c r="D624" s="637"/>
      <c r="E624" s="637"/>
      <c r="F624" s="637"/>
      <c r="G624" s="637"/>
      <c r="H624" s="637"/>
      <c r="I624" s="637"/>
      <c r="J624" s="637"/>
    </row>
    <row r="625" spans="1:10" x14ac:dyDescent="0.2">
      <c r="A625" s="626"/>
      <c r="B625" s="637"/>
      <c r="C625" s="637"/>
      <c r="D625" s="637"/>
      <c r="E625" s="637"/>
      <c r="F625" s="637"/>
      <c r="G625" s="637"/>
      <c r="H625" s="637"/>
      <c r="I625" s="637"/>
      <c r="J625" s="637"/>
    </row>
    <row r="626" spans="1:10" x14ac:dyDescent="0.2">
      <c r="A626" s="626"/>
      <c r="B626" s="637"/>
      <c r="C626" s="637"/>
      <c r="D626" s="637"/>
      <c r="E626" s="637"/>
      <c r="F626" s="637"/>
      <c r="G626" s="637"/>
      <c r="H626" s="637"/>
      <c r="I626" s="637"/>
      <c r="J626" s="637"/>
    </row>
    <row r="627" spans="1:10" x14ac:dyDescent="0.2">
      <c r="A627" s="626"/>
      <c r="B627" s="637"/>
      <c r="C627" s="637"/>
      <c r="D627" s="637"/>
      <c r="E627" s="637"/>
      <c r="F627" s="637"/>
      <c r="G627" s="637"/>
      <c r="H627" s="637"/>
      <c r="I627" s="637"/>
      <c r="J627" s="637"/>
    </row>
    <row r="628" spans="1:10" x14ac:dyDescent="0.2">
      <c r="A628" s="626"/>
      <c r="B628" s="637"/>
      <c r="C628" s="637"/>
      <c r="D628" s="637"/>
      <c r="E628" s="637"/>
      <c r="F628" s="637"/>
      <c r="G628" s="637"/>
      <c r="H628" s="637"/>
      <c r="I628" s="637"/>
      <c r="J628" s="637"/>
    </row>
    <row r="629" spans="1:10" x14ac:dyDescent="0.2">
      <c r="A629" s="626"/>
      <c r="B629" s="637"/>
      <c r="C629" s="637"/>
      <c r="D629" s="637"/>
      <c r="E629" s="637"/>
      <c r="F629" s="637"/>
      <c r="G629" s="637"/>
      <c r="H629" s="637"/>
      <c r="I629" s="637"/>
      <c r="J629" s="637"/>
    </row>
    <row r="630" spans="1:10" x14ac:dyDescent="0.2">
      <c r="A630" s="626"/>
      <c r="B630" s="637"/>
      <c r="C630" s="637"/>
      <c r="D630" s="637"/>
      <c r="E630" s="637"/>
      <c r="F630" s="637"/>
      <c r="G630" s="637"/>
      <c r="H630" s="637"/>
      <c r="I630" s="637"/>
      <c r="J630" s="637"/>
    </row>
    <row r="631" spans="1:10" x14ac:dyDescent="0.2">
      <c r="A631" s="626"/>
      <c r="B631" s="637"/>
      <c r="C631" s="637"/>
      <c r="D631" s="637"/>
      <c r="E631" s="637"/>
      <c r="F631" s="637"/>
      <c r="G631" s="637"/>
      <c r="H631" s="637"/>
      <c r="I631" s="637"/>
      <c r="J631" s="637"/>
    </row>
    <row r="632" spans="1:10" x14ac:dyDescent="0.2">
      <c r="A632" s="626"/>
      <c r="B632" s="637"/>
      <c r="C632" s="637"/>
      <c r="D632" s="637"/>
      <c r="E632" s="637"/>
      <c r="F632" s="637"/>
      <c r="G632" s="637"/>
      <c r="H632" s="637"/>
      <c r="I632" s="637"/>
      <c r="J632" s="637"/>
    </row>
    <row r="633" spans="1:10" x14ac:dyDescent="0.2">
      <c r="A633" s="626"/>
      <c r="B633" s="637"/>
      <c r="C633" s="637"/>
      <c r="D633" s="637"/>
      <c r="E633" s="637"/>
      <c r="F633" s="637"/>
      <c r="G633" s="637"/>
      <c r="H633" s="637"/>
      <c r="I633" s="637"/>
      <c r="J633" s="637"/>
    </row>
    <row r="634" spans="1:10" x14ac:dyDescent="0.2">
      <c r="A634" s="626"/>
      <c r="B634" s="637"/>
      <c r="C634" s="637"/>
      <c r="D634" s="637"/>
      <c r="E634" s="637"/>
      <c r="F634" s="637"/>
      <c r="G634" s="637"/>
      <c r="H634" s="637"/>
      <c r="I634" s="637"/>
      <c r="J634" s="637"/>
    </row>
    <row r="635" spans="1:10" x14ac:dyDescent="0.2">
      <c r="A635" s="626"/>
      <c r="B635" s="637"/>
      <c r="C635" s="637"/>
      <c r="D635" s="637"/>
      <c r="E635" s="637"/>
      <c r="F635" s="637"/>
      <c r="G635" s="637"/>
      <c r="H635" s="637"/>
      <c r="I635" s="637"/>
      <c r="J635" s="637"/>
    </row>
    <row r="636" spans="1:10" x14ac:dyDescent="0.2">
      <c r="A636" s="626"/>
      <c r="B636" s="637"/>
      <c r="C636" s="637"/>
      <c r="D636" s="637"/>
      <c r="E636" s="637"/>
      <c r="F636" s="637"/>
      <c r="G636" s="637"/>
      <c r="H636" s="637"/>
      <c r="I636" s="637"/>
      <c r="J636" s="637"/>
    </row>
    <row r="637" spans="1:10" x14ac:dyDescent="0.2">
      <c r="A637" s="626"/>
      <c r="B637" s="637"/>
      <c r="C637" s="637"/>
      <c r="D637" s="637"/>
      <c r="E637" s="637"/>
      <c r="F637" s="637"/>
      <c r="G637" s="637"/>
      <c r="H637" s="637"/>
      <c r="I637" s="637"/>
      <c r="J637" s="637"/>
    </row>
    <row r="638" spans="1:10" x14ac:dyDescent="0.2">
      <c r="A638" s="626"/>
      <c r="B638" s="637"/>
      <c r="C638" s="637"/>
      <c r="D638" s="637"/>
      <c r="E638" s="637"/>
      <c r="F638" s="637"/>
      <c r="G638" s="637"/>
      <c r="H638" s="637"/>
      <c r="I638" s="637"/>
      <c r="J638" s="637"/>
    </row>
    <row r="639" spans="1:10" x14ac:dyDescent="0.2">
      <c r="A639" s="626"/>
      <c r="B639" s="637"/>
      <c r="C639" s="637"/>
      <c r="D639" s="637"/>
      <c r="E639" s="637"/>
      <c r="F639" s="637"/>
      <c r="G639" s="637"/>
      <c r="H639" s="637"/>
      <c r="I639" s="637"/>
      <c r="J639" s="637"/>
    </row>
    <row r="640" spans="1:10" x14ac:dyDescent="0.2">
      <c r="A640" s="626"/>
      <c r="B640" s="637"/>
      <c r="C640" s="637"/>
      <c r="D640" s="637"/>
      <c r="E640" s="637"/>
      <c r="F640" s="637"/>
      <c r="G640" s="637"/>
      <c r="H640" s="637"/>
      <c r="I640" s="637"/>
      <c r="J640" s="637"/>
    </row>
    <row r="641" spans="1:10" x14ac:dyDescent="0.2">
      <c r="A641" s="626"/>
      <c r="B641" s="637"/>
      <c r="C641" s="637"/>
      <c r="D641" s="637"/>
      <c r="E641" s="637"/>
      <c r="F641" s="637"/>
      <c r="G641" s="637"/>
      <c r="H641" s="637"/>
      <c r="I641" s="637"/>
      <c r="J641" s="637"/>
    </row>
    <row r="642" spans="1:10" x14ac:dyDescent="0.2">
      <c r="A642" s="626"/>
      <c r="B642" s="637"/>
      <c r="C642" s="637"/>
      <c r="D642" s="637"/>
      <c r="E642" s="637"/>
      <c r="F642" s="637"/>
      <c r="G642" s="637"/>
      <c r="H642" s="637"/>
      <c r="I642" s="637"/>
      <c r="J642" s="637"/>
    </row>
    <row r="643" spans="1:10" x14ac:dyDescent="0.2">
      <c r="A643" s="626"/>
      <c r="B643" s="637"/>
      <c r="C643" s="637"/>
      <c r="D643" s="637"/>
      <c r="E643" s="637"/>
      <c r="F643" s="637"/>
      <c r="G643" s="637"/>
      <c r="H643" s="637"/>
      <c r="I643" s="637"/>
      <c r="J643" s="637"/>
    </row>
    <row r="644" spans="1:10" x14ac:dyDescent="0.2">
      <c r="A644" s="626"/>
      <c r="B644" s="637"/>
      <c r="C644" s="637"/>
      <c r="D644" s="637"/>
      <c r="E644" s="637"/>
      <c r="F644" s="637"/>
      <c r="G644" s="637"/>
      <c r="H644" s="637"/>
      <c r="I644" s="637"/>
      <c r="J644" s="637"/>
    </row>
    <row r="645" spans="1:10" x14ac:dyDescent="0.2">
      <c r="A645" s="626"/>
      <c r="B645" s="637"/>
      <c r="C645" s="637"/>
      <c r="D645" s="637"/>
      <c r="E645" s="637"/>
      <c r="F645" s="637"/>
      <c r="G645" s="637"/>
      <c r="H645" s="637"/>
      <c r="I645" s="637"/>
      <c r="J645" s="637"/>
    </row>
    <row r="646" spans="1:10" x14ac:dyDescent="0.2">
      <c r="A646" s="626"/>
      <c r="B646" s="637"/>
      <c r="C646" s="637"/>
      <c r="D646" s="637"/>
      <c r="E646" s="637"/>
      <c r="F646" s="637"/>
      <c r="G646" s="637"/>
      <c r="H646" s="637"/>
      <c r="I646" s="637"/>
      <c r="J646" s="637"/>
    </row>
    <row r="647" spans="1:10" x14ac:dyDescent="0.2">
      <c r="A647" s="626"/>
      <c r="B647" s="637"/>
      <c r="C647" s="637"/>
      <c r="D647" s="637"/>
      <c r="E647" s="637"/>
      <c r="F647" s="637"/>
      <c r="G647" s="637"/>
      <c r="H647" s="637"/>
      <c r="I647" s="637"/>
      <c r="J647" s="637"/>
    </row>
    <row r="648" spans="1:10" x14ac:dyDescent="0.2">
      <c r="A648" s="626"/>
      <c r="B648" s="637"/>
      <c r="C648" s="637"/>
      <c r="D648" s="637"/>
      <c r="E648" s="637"/>
      <c r="F648" s="637"/>
      <c r="G648" s="637"/>
      <c r="H648" s="637"/>
      <c r="I648" s="637"/>
      <c r="J648" s="637"/>
    </row>
    <row r="649" spans="1:10" x14ac:dyDescent="0.2">
      <c r="A649" s="626"/>
      <c r="B649" s="637"/>
      <c r="C649" s="637"/>
      <c r="D649" s="637"/>
      <c r="E649" s="637"/>
      <c r="F649" s="637"/>
      <c r="G649" s="637"/>
      <c r="H649" s="637"/>
      <c r="I649" s="637"/>
      <c r="J649" s="637"/>
    </row>
    <row r="650" spans="1:10" x14ac:dyDescent="0.2">
      <c r="A650" s="626"/>
      <c r="B650" s="637"/>
      <c r="C650" s="637"/>
      <c r="D650" s="637"/>
      <c r="E650" s="637"/>
      <c r="F650" s="637"/>
      <c r="G650" s="637"/>
      <c r="H650" s="637"/>
      <c r="I650" s="637"/>
      <c r="J650" s="637"/>
    </row>
    <row r="651" spans="1:10" x14ac:dyDescent="0.2">
      <c r="A651" s="626"/>
      <c r="B651" s="637"/>
      <c r="C651" s="637"/>
      <c r="D651" s="637"/>
      <c r="E651" s="637"/>
      <c r="F651" s="637"/>
      <c r="G651" s="637"/>
      <c r="H651" s="637"/>
      <c r="I651" s="637"/>
      <c r="J651" s="637"/>
    </row>
    <row r="652" spans="1:10" x14ac:dyDescent="0.2">
      <c r="A652" s="626"/>
      <c r="B652" s="637"/>
      <c r="C652" s="637"/>
      <c r="D652" s="637"/>
      <c r="E652" s="637"/>
      <c r="F652" s="637"/>
      <c r="G652" s="637"/>
      <c r="H652" s="637"/>
      <c r="I652" s="637"/>
      <c r="J652" s="637"/>
    </row>
    <row r="653" spans="1:10" x14ac:dyDescent="0.2">
      <c r="A653" s="626"/>
      <c r="B653" s="637"/>
      <c r="C653" s="637"/>
      <c r="D653" s="637"/>
      <c r="E653" s="637"/>
      <c r="F653" s="637"/>
      <c r="G653" s="637"/>
      <c r="H653" s="637"/>
      <c r="I653" s="637"/>
      <c r="J653" s="637"/>
    </row>
    <row r="654" spans="1:10" x14ac:dyDescent="0.2">
      <c r="A654" s="626"/>
      <c r="B654" s="637"/>
      <c r="C654" s="637"/>
      <c r="D654" s="637"/>
      <c r="E654" s="637"/>
      <c r="F654" s="637"/>
      <c r="G654" s="637"/>
      <c r="H654" s="637"/>
      <c r="I654" s="637"/>
      <c r="J654" s="637"/>
    </row>
    <row r="655" spans="1:10" x14ac:dyDescent="0.2">
      <c r="A655" s="626"/>
      <c r="B655" s="637"/>
      <c r="C655" s="637"/>
      <c r="D655" s="637"/>
      <c r="E655" s="637"/>
      <c r="F655" s="637"/>
      <c r="G655" s="637"/>
      <c r="H655" s="637"/>
      <c r="I655" s="637"/>
      <c r="J655" s="637"/>
    </row>
    <row r="656" spans="1:10" x14ac:dyDescent="0.2">
      <c r="A656" s="626"/>
      <c r="B656" s="637"/>
      <c r="C656" s="637"/>
      <c r="D656" s="637"/>
      <c r="E656" s="637"/>
      <c r="F656" s="637"/>
      <c r="G656" s="637"/>
      <c r="H656" s="637"/>
      <c r="I656" s="637"/>
      <c r="J656" s="637"/>
    </row>
    <row r="657" spans="1:10" x14ac:dyDescent="0.2">
      <c r="A657" s="626"/>
      <c r="B657" s="637"/>
      <c r="C657" s="637"/>
      <c r="D657" s="637"/>
      <c r="E657" s="637"/>
      <c r="F657" s="637"/>
      <c r="G657" s="637"/>
      <c r="H657" s="637"/>
      <c r="I657" s="637"/>
      <c r="J657" s="637"/>
    </row>
    <row r="658" spans="1:10" x14ac:dyDescent="0.2">
      <c r="A658" s="626"/>
      <c r="B658" s="637"/>
      <c r="C658" s="637"/>
      <c r="D658" s="637"/>
      <c r="E658" s="637"/>
      <c r="F658" s="637"/>
      <c r="G658" s="637"/>
      <c r="H658" s="637"/>
      <c r="I658" s="637"/>
      <c r="J658" s="637"/>
    </row>
    <row r="659" spans="1:10" x14ac:dyDescent="0.2">
      <c r="A659" s="626"/>
      <c r="B659" s="637"/>
      <c r="C659" s="637"/>
      <c r="D659" s="637"/>
      <c r="E659" s="637"/>
      <c r="F659" s="637"/>
      <c r="G659" s="637"/>
      <c r="H659" s="637"/>
      <c r="I659" s="637"/>
      <c r="J659" s="637"/>
    </row>
    <row r="660" spans="1:10" x14ac:dyDescent="0.2">
      <c r="A660" s="626"/>
      <c r="B660" s="637"/>
      <c r="C660" s="637"/>
      <c r="D660" s="637"/>
      <c r="E660" s="637"/>
      <c r="F660" s="637"/>
      <c r="G660" s="637"/>
      <c r="H660" s="637"/>
      <c r="I660" s="637"/>
      <c r="J660" s="637"/>
    </row>
    <row r="661" spans="1:10" x14ac:dyDescent="0.2">
      <c r="A661" s="626"/>
      <c r="B661" s="637"/>
      <c r="C661" s="637"/>
      <c r="D661" s="637"/>
      <c r="E661" s="637"/>
      <c r="F661" s="637"/>
      <c r="G661" s="637"/>
      <c r="H661" s="637"/>
      <c r="I661" s="637"/>
      <c r="J661" s="637"/>
    </row>
    <row r="662" spans="1:10" x14ac:dyDescent="0.2">
      <c r="A662" s="626"/>
      <c r="B662" s="637"/>
      <c r="C662" s="637"/>
      <c r="D662" s="637"/>
      <c r="E662" s="637"/>
      <c r="F662" s="637"/>
      <c r="G662" s="637"/>
      <c r="H662" s="637"/>
      <c r="I662" s="637"/>
      <c r="J662" s="637"/>
    </row>
    <row r="663" spans="1:10" x14ac:dyDescent="0.2">
      <c r="A663" s="626"/>
      <c r="B663" s="637"/>
      <c r="C663" s="637"/>
      <c r="D663" s="637"/>
      <c r="E663" s="637"/>
      <c r="F663" s="637"/>
      <c r="G663" s="637"/>
      <c r="H663" s="637"/>
      <c r="I663" s="637"/>
      <c r="J663" s="637"/>
    </row>
    <row r="664" spans="1:10" x14ac:dyDescent="0.2">
      <c r="A664" s="626"/>
      <c r="B664" s="637"/>
      <c r="C664" s="637"/>
      <c r="D664" s="637"/>
      <c r="E664" s="637"/>
      <c r="F664" s="637"/>
      <c r="G664" s="637"/>
      <c r="H664" s="637"/>
      <c r="I664" s="637"/>
      <c r="J664" s="637"/>
    </row>
    <row r="665" spans="1:10" x14ac:dyDescent="0.2">
      <c r="A665" s="626"/>
      <c r="B665" s="637"/>
      <c r="C665" s="637"/>
      <c r="D665" s="637"/>
      <c r="E665" s="637"/>
      <c r="F665" s="637"/>
      <c r="G665" s="637"/>
      <c r="H665" s="637"/>
      <c r="I665" s="637"/>
      <c r="J665" s="637"/>
    </row>
    <row r="666" spans="1:10" x14ac:dyDescent="0.2">
      <c r="A666" s="626"/>
      <c r="B666" s="637"/>
      <c r="C666" s="637"/>
      <c r="D666" s="637"/>
      <c r="E666" s="637"/>
      <c r="F666" s="637"/>
      <c r="G666" s="637"/>
      <c r="H666" s="637"/>
      <c r="I666" s="637"/>
      <c r="J666" s="637"/>
    </row>
    <row r="667" spans="1:10" x14ac:dyDescent="0.2">
      <c r="A667" s="626"/>
      <c r="B667" s="637"/>
      <c r="C667" s="637"/>
      <c r="D667" s="637"/>
      <c r="E667" s="637"/>
      <c r="F667" s="637"/>
      <c r="G667" s="637"/>
      <c r="H667" s="637"/>
      <c r="I667" s="637"/>
      <c r="J667" s="637"/>
    </row>
    <row r="668" spans="1:10" x14ac:dyDescent="0.2">
      <c r="A668" s="626"/>
      <c r="B668" s="637"/>
      <c r="C668" s="637"/>
      <c r="D668" s="637"/>
      <c r="E668" s="637"/>
      <c r="F668" s="637"/>
      <c r="G668" s="637"/>
      <c r="H668" s="637"/>
      <c r="I668" s="637"/>
      <c r="J668" s="637"/>
    </row>
    <row r="669" spans="1:10" x14ac:dyDescent="0.2">
      <c r="A669" s="626"/>
      <c r="B669" s="637"/>
      <c r="C669" s="637"/>
      <c r="D669" s="637"/>
      <c r="E669" s="637"/>
      <c r="F669" s="637"/>
      <c r="G669" s="637"/>
      <c r="H669" s="637"/>
      <c r="I669" s="637"/>
      <c r="J669" s="637"/>
    </row>
    <row r="670" spans="1:10" x14ac:dyDescent="0.2">
      <c r="A670" s="626"/>
      <c r="B670" s="637"/>
      <c r="C670" s="637"/>
      <c r="D670" s="637"/>
      <c r="E670" s="637"/>
      <c r="F670" s="637"/>
      <c r="G670" s="637"/>
      <c r="H670" s="637"/>
      <c r="I670" s="637"/>
      <c r="J670" s="637"/>
    </row>
    <row r="671" spans="1:10" x14ac:dyDescent="0.2">
      <c r="A671" s="626"/>
      <c r="B671" s="637"/>
      <c r="C671" s="637"/>
      <c r="D671" s="637"/>
      <c r="E671" s="637"/>
      <c r="F671" s="637"/>
      <c r="G671" s="637"/>
      <c r="H671" s="637"/>
      <c r="I671" s="637"/>
      <c r="J671" s="637"/>
    </row>
    <row r="672" spans="1:10" x14ac:dyDescent="0.2">
      <c r="A672" s="626"/>
      <c r="B672" s="637"/>
      <c r="C672" s="637"/>
      <c r="D672" s="637"/>
      <c r="E672" s="637"/>
      <c r="F672" s="637"/>
      <c r="G672" s="637"/>
      <c r="H672" s="637"/>
      <c r="I672" s="637"/>
      <c r="J672" s="637"/>
    </row>
    <row r="673" spans="1:10" x14ac:dyDescent="0.2">
      <c r="A673" s="626"/>
      <c r="B673" s="637"/>
      <c r="C673" s="637"/>
      <c r="D673" s="637"/>
      <c r="E673" s="637"/>
      <c r="F673" s="637"/>
      <c r="G673" s="637"/>
      <c r="H673" s="637"/>
      <c r="I673" s="637"/>
      <c r="J673" s="637"/>
    </row>
    <row r="674" spans="1:10" x14ac:dyDescent="0.2">
      <c r="A674" s="626"/>
      <c r="B674" s="637"/>
      <c r="C674" s="637"/>
      <c r="D674" s="637"/>
      <c r="E674" s="637"/>
      <c r="F674" s="637"/>
      <c r="G674" s="637"/>
      <c r="H674" s="637"/>
      <c r="I674" s="637"/>
      <c r="J674" s="637"/>
    </row>
    <row r="675" spans="1:10" x14ac:dyDescent="0.2">
      <c r="A675" s="626"/>
      <c r="B675" s="637"/>
      <c r="C675" s="637"/>
      <c r="D675" s="637"/>
      <c r="E675" s="637"/>
      <c r="F675" s="637"/>
      <c r="G675" s="637"/>
      <c r="H675" s="637"/>
      <c r="I675" s="637"/>
      <c r="J675" s="637"/>
    </row>
    <row r="676" spans="1:10" x14ac:dyDescent="0.2">
      <c r="A676" s="626"/>
      <c r="B676" s="637"/>
      <c r="C676" s="637"/>
      <c r="D676" s="637"/>
      <c r="E676" s="637"/>
      <c r="F676" s="637"/>
      <c r="G676" s="637"/>
      <c r="H676" s="637"/>
      <c r="I676" s="637"/>
      <c r="J676" s="637"/>
    </row>
    <row r="677" spans="1:10" x14ac:dyDescent="0.2">
      <c r="A677" s="626"/>
      <c r="B677" s="637"/>
      <c r="C677" s="637"/>
      <c r="D677" s="637"/>
      <c r="E677" s="637"/>
      <c r="F677" s="637"/>
      <c r="G677" s="637"/>
      <c r="H677" s="637"/>
      <c r="I677" s="637"/>
      <c r="J677" s="637"/>
    </row>
    <row r="678" spans="1:10" x14ac:dyDescent="0.2">
      <c r="A678" s="626"/>
      <c r="B678" s="637"/>
      <c r="C678" s="637"/>
      <c r="D678" s="637"/>
      <c r="E678" s="637"/>
      <c r="F678" s="637"/>
      <c r="G678" s="637"/>
      <c r="H678" s="637"/>
      <c r="I678" s="637"/>
      <c r="J678" s="637"/>
    </row>
    <row r="679" spans="1:10" x14ac:dyDescent="0.2">
      <c r="A679" s="626"/>
      <c r="B679" s="637"/>
      <c r="C679" s="637"/>
      <c r="D679" s="637"/>
      <c r="E679" s="637"/>
      <c r="F679" s="637"/>
      <c r="G679" s="637"/>
      <c r="H679" s="637"/>
      <c r="I679" s="637"/>
      <c r="J679" s="637"/>
    </row>
    <row r="680" spans="1:10" x14ac:dyDescent="0.2">
      <c r="A680" s="626"/>
      <c r="B680" s="637"/>
      <c r="C680" s="637"/>
      <c r="D680" s="637"/>
      <c r="E680" s="637"/>
      <c r="F680" s="637"/>
      <c r="G680" s="637"/>
      <c r="H680" s="637"/>
      <c r="I680" s="637"/>
      <c r="J680" s="637"/>
    </row>
    <row r="681" spans="1:10" x14ac:dyDescent="0.2">
      <c r="A681" s="626"/>
      <c r="B681" s="637"/>
      <c r="C681" s="637"/>
      <c r="D681" s="637"/>
      <c r="E681" s="637"/>
      <c r="F681" s="637"/>
      <c r="G681" s="637"/>
      <c r="H681" s="637"/>
      <c r="I681" s="637"/>
      <c r="J681" s="637"/>
    </row>
    <row r="682" spans="1:10" x14ac:dyDescent="0.2">
      <c r="A682" s="626"/>
      <c r="B682" s="637"/>
      <c r="C682" s="637"/>
      <c r="D682" s="637"/>
      <c r="E682" s="637"/>
      <c r="F682" s="637"/>
      <c r="G682" s="637"/>
      <c r="H682" s="637"/>
      <c r="I682" s="637"/>
      <c r="J682" s="637"/>
    </row>
    <row r="683" spans="1:10" x14ac:dyDescent="0.2">
      <c r="A683" s="626"/>
      <c r="B683" s="637"/>
      <c r="C683" s="637"/>
      <c r="D683" s="637"/>
      <c r="E683" s="637"/>
      <c r="F683" s="637"/>
      <c r="G683" s="637"/>
      <c r="H683" s="637"/>
      <c r="I683" s="637"/>
      <c r="J683" s="637"/>
    </row>
    <row r="684" spans="1:10" x14ac:dyDescent="0.2">
      <c r="A684" s="626"/>
      <c r="B684" s="637"/>
      <c r="C684" s="637"/>
      <c r="D684" s="637"/>
      <c r="E684" s="637"/>
      <c r="F684" s="637"/>
      <c r="G684" s="637"/>
      <c r="H684" s="637"/>
      <c r="I684" s="637"/>
      <c r="J684" s="637"/>
    </row>
    <row r="685" spans="1:10" x14ac:dyDescent="0.2">
      <c r="A685" s="626"/>
      <c r="B685" s="637"/>
      <c r="C685" s="637"/>
      <c r="D685" s="637"/>
      <c r="E685" s="637"/>
      <c r="F685" s="637"/>
      <c r="G685" s="637"/>
      <c r="H685" s="637"/>
      <c r="I685" s="637"/>
      <c r="J685" s="637"/>
    </row>
    <row r="686" spans="1:10" x14ac:dyDescent="0.2">
      <c r="A686" s="626"/>
      <c r="B686" s="637"/>
      <c r="C686" s="637"/>
      <c r="D686" s="637"/>
      <c r="E686" s="637"/>
      <c r="F686" s="637"/>
      <c r="G686" s="637"/>
      <c r="H686" s="637"/>
      <c r="I686" s="637"/>
      <c r="J686" s="637"/>
    </row>
    <row r="687" spans="1:10" x14ac:dyDescent="0.2">
      <c r="A687" s="626"/>
      <c r="B687" s="637"/>
      <c r="C687" s="637"/>
      <c r="D687" s="637"/>
      <c r="E687" s="637"/>
      <c r="F687" s="637"/>
      <c r="G687" s="637"/>
      <c r="H687" s="637"/>
      <c r="I687" s="637"/>
      <c r="J687" s="637"/>
    </row>
    <row r="688" spans="1:10" x14ac:dyDescent="0.2">
      <c r="A688" s="626"/>
      <c r="B688" s="637"/>
      <c r="C688" s="637"/>
      <c r="D688" s="637"/>
      <c r="E688" s="637"/>
      <c r="F688" s="637"/>
      <c r="G688" s="637"/>
      <c r="H688" s="637"/>
      <c r="I688" s="637"/>
      <c r="J688" s="637"/>
    </row>
    <row r="689" spans="1:10" x14ac:dyDescent="0.2">
      <c r="A689" s="626"/>
      <c r="B689" s="637"/>
      <c r="C689" s="637"/>
      <c r="D689" s="637"/>
      <c r="E689" s="637"/>
      <c r="F689" s="637"/>
      <c r="G689" s="637"/>
      <c r="H689" s="637"/>
      <c r="I689" s="637"/>
      <c r="J689" s="637"/>
    </row>
    <row r="690" spans="1:10" x14ac:dyDescent="0.2">
      <c r="A690" s="626"/>
      <c r="B690" s="637"/>
      <c r="C690" s="637"/>
      <c r="D690" s="637"/>
      <c r="E690" s="637"/>
      <c r="F690" s="637"/>
      <c r="G690" s="637"/>
      <c r="H690" s="637"/>
      <c r="I690" s="637"/>
      <c r="J690" s="637"/>
    </row>
    <row r="691" spans="1:10" x14ac:dyDescent="0.2">
      <c r="A691" s="626"/>
      <c r="B691" s="637"/>
      <c r="C691" s="637"/>
      <c r="D691" s="637"/>
      <c r="E691" s="637"/>
      <c r="F691" s="637"/>
      <c r="G691" s="637"/>
      <c r="H691" s="637"/>
      <c r="I691" s="637"/>
      <c r="J691" s="637"/>
    </row>
    <row r="692" spans="1:10" x14ac:dyDescent="0.2">
      <c r="A692" s="626"/>
      <c r="B692" s="637"/>
      <c r="C692" s="637"/>
      <c r="D692" s="637"/>
      <c r="E692" s="637"/>
      <c r="F692" s="637"/>
      <c r="G692" s="637"/>
      <c r="H692" s="637"/>
      <c r="I692" s="637"/>
      <c r="J692" s="637"/>
    </row>
    <row r="693" spans="1:10" x14ac:dyDescent="0.2">
      <c r="A693" s="626"/>
      <c r="B693" s="637"/>
      <c r="C693" s="637"/>
      <c r="D693" s="637"/>
      <c r="E693" s="637"/>
      <c r="F693" s="637"/>
      <c r="G693" s="637"/>
      <c r="H693" s="637"/>
      <c r="I693" s="637"/>
      <c r="J693" s="637"/>
    </row>
    <row r="694" spans="1:10" x14ac:dyDescent="0.2">
      <c r="A694" s="626"/>
      <c r="B694" s="637"/>
      <c r="C694" s="637"/>
      <c r="D694" s="637"/>
      <c r="E694" s="637"/>
      <c r="F694" s="637"/>
      <c r="G694" s="637"/>
      <c r="H694" s="637"/>
      <c r="I694" s="637"/>
      <c r="J694" s="637"/>
    </row>
    <row r="695" spans="1:10" x14ac:dyDescent="0.2">
      <c r="A695" s="626"/>
      <c r="B695" s="637"/>
      <c r="C695" s="637"/>
      <c r="D695" s="637"/>
      <c r="E695" s="637"/>
      <c r="F695" s="637"/>
      <c r="G695" s="637"/>
      <c r="H695" s="637"/>
      <c r="I695" s="637"/>
      <c r="J695" s="637"/>
    </row>
    <row r="696" spans="1:10" x14ac:dyDescent="0.2">
      <c r="A696" s="626"/>
      <c r="B696" s="637"/>
      <c r="C696" s="637"/>
      <c r="D696" s="637"/>
      <c r="E696" s="637"/>
      <c r="F696" s="637"/>
      <c r="G696" s="637"/>
      <c r="H696" s="637"/>
      <c r="I696" s="637"/>
      <c r="J696" s="637"/>
    </row>
    <row r="697" spans="1:10" x14ac:dyDescent="0.2">
      <c r="A697" s="626"/>
      <c r="B697" s="637"/>
      <c r="C697" s="637"/>
      <c r="D697" s="637"/>
      <c r="E697" s="637"/>
      <c r="F697" s="637"/>
      <c r="G697" s="637"/>
      <c r="H697" s="637"/>
      <c r="I697" s="637"/>
      <c r="J697" s="637"/>
    </row>
    <row r="698" spans="1:10" x14ac:dyDescent="0.2">
      <c r="A698" s="626"/>
      <c r="B698" s="637"/>
      <c r="C698" s="637"/>
      <c r="D698" s="637"/>
      <c r="E698" s="637"/>
      <c r="F698" s="637"/>
      <c r="G698" s="637"/>
      <c r="H698" s="637"/>
      <c r="I698" s="637"/>
      <c r="J698" s="637"/>
    </row>
    <row r="699" spans="1:10" x14ac:dyDescent="0.2">
      <c r="A699" s="626"/>
      <c r="B699" s="637"/>
      <c r="C699" s="637"/>
      <c r="D699" s="637"/>
      <c r="E699" s="637"/>
      <c r="F699" s="637"/>
      <c r="G699" s="637"/>
      <c r="H699" s="637"/>
      <c r="I699" s="637"/>
      <c r="J699" s="637"/>
    </row>
    <row r="700" spans="1:10" x14ac:dyDescent="0.2">
      <c r="A700" s="626"/>
      <c r="B700" s="637"/>
      <c r="C700" s="637"/>
      <c r="D700" s="637"/>
      <c r="E700" s="637"/>
      <c r="F700" s="637"/>
      <c r="G700" s="637"/>
      <c r="H700" s="637"/>
      <c r="I700" s="637"/>
      <c r="J700" s="637"/>
    </row>
    <row r="701" spans="1:10" x14ac:dyDescent="0.2">
      <c r="A701" s="626"/>
      <c r="B701" s="637"/>
      <c r="C701" s="637"/>
      <c r="D701" s="637"/>
      <c r="E701" s="637"/>
      <c r="F701" s="637"/>
      <c r="G701" s="637"/>
      <c r="H701" s="637"/>
      <c r="I701" s="637"/>
      <c r="J701" s="637"/>
    </row>
    <row r="702" spans="1:10" x14ac:dyDescent="0.2">
      <c r="A702" s="626"/>
      <c r="B702" s="637"/>
      <c r="C702" s="637"/>
      <c r="D702" s="637"/>
      <c r="E702" s="637"/>
      <c r="F702" s="637"/>
      <c r="G702" s="637"/>
      <c r="H702" s="637"/>
      <c r="I702" s="637"/>
      <c r="J702" s="637"/>
    </row>
    <row r="703" spans="1:10" x14ac:dyDescent="0.2">
      <c r="A703" s="626"/>
      <c r="B703" s="637"/>
      <c r="C703" s="637"/>
      <c r="D703" s="637"/>
      <c r="E703" s="637"/>
      <c r="F703" s="637"/>
      <c r="G703" s="637"/>
      <c r="H703" s="637"/>
      <c r="I703" s="637"/>
      <c r="J703" s="637"/>
    </row>
    <row r="704" spans="1:10" x14ac:dyDescent="0.2">
      <c r="A704" s="626"/>
      <c r="B704" s="637"/>
      <c r="C704" s="637"/>
      <c r="D704" s="637"/>
      <c r="E704" s="637"/>
      <c r="F704" s="637"/>
      <c r="G704" s="637"/>
      <c r="H704" s="637"/>
      <c r="I704" s="637"/>
      <c r="J704" s="637"/>
    </row>
    <row r="705" spans="1:10" x14ac:dyDescent="0.2">
      <c r="A705" s="626"/>
      <c r="B705" s="637"/>
      <c r="C705" s="637"/>
      <c r="D705" s="637"/>
      <c r="E705" s="637"/>
      <c r="F705" s="637"/>
      <c r="G705" s="637"/>
      <c r="H705" s="637"/>
      <c r="I705" s="637"/>
      <c r="J705" s="637"/>
    </row>
    <row r="706" spans="1:10" x14ac:dyDescent="0.2">
      <c r="A706" s="626"/>
      <c r="B706" s="637"/>
      <c r="C706" s="637"/>
      <c r="D706" s="637"/>
      <c r="E706" s="637"/>
      <c r="F706" s="637"/>
      <c r="G706" s="637"/>
      <c r="H706" s="637"/>
      <c r="I706" s="637"/>
      <c r="J706" s="637"/>
    </row>
    <row r="707" spans="1:10" x14ac:dyDescent="0.2">
      <c r="A707" s="626"/>
      <c r="B707" s="637"/>
      <c r="C707" s="637"/>
      <c r="D707" s="637"/>
      <c r="E707" s="637"/>
      <c r="F707" s="637"/>
      <c r="G707" s="637"/>
      <c r="H707" s="637"/>
      <c r="I707" s="637"/>
      <c r="J707" s="637"/>
    </row>
    <row r="708" spans="1:10" x14ac:dyDescent="0.2">
      <c r="A708" s="626"/>
      <c r="B708" s="637"/>
      <c r="C708" s="637"/>
      <c r="D708" s="637"/>
      <c r="E708" s="637"/>
      <c r="F708" s="637"/>
      <c r="G708" s="637"/>
      <c r="H708" s="637"/>
      <c r="I708" s="637"/>
      <c r="J708" s="637"/>
    </row>
    <row r="709" spans="1:10" x14ac:dyDescent="0.2">
      <c r="A709" s="626"/>
      <c r="B709" s="637"/>
      <c r="C709" s="637"/>
      <c r="D709" s="637"/>
      <c r="E709" s="637"/>
      <c r="F709" s="637"/>
      <c r="G709" s="637"/>
      <c r="H709" s="637"/>
      <c r="I709" s="637"/>
      <c r="J709" s="637"/>
    </row>
    <row r="710" spans="1:10" x14ac:dyDescent="0.2">
      <c r="A710" s="626"/>
      <c r="B710" s="637"/>
      <c r="C710" s="637"/>
      <c r="D710" s="637"/>
      <c r="E710" s="637"/>
      <c r="F710" s="637"/>
      <c r="G710" s="637"/>
      <c r="H710" s="637"/>
      <c r="I710" s="637"/>
      <c r="J710" s="637"/>
    </row>
    <row r="711" spans="1:10" x14ac:dyDescent="0.2">
      <c r="A711" s="626"/>
      <c r="B711" s="637"/>
      <c r="C711" s="637"/>
      <c r="D711" s="637"/>
      <c r="E711" s="637"/>
      <c r="F711" s="637"/>
      <c r="G711" s="637"/>
      <c r="H711" s="637"/>
      <c r="I711" s="637"/>
      <c r="J711" s="637"/>
    </row>
    <row r="712" spans="1:10" x14ac:dyDescent="0.2">
      <c r="A712" s="626"/>
      <c r="B712" s="637"/>
      <c r="C712" s="637"/>
      <c r="D712" s="637"/>
      <c r="E712" s="637"/>
      <c r="F712" s="637"/>
      <c r="G712" s="637"/>
      <c r="H712" s="637"/>
      <c r="I712" s="637"/>
      <c r="J712" s="637"/>
    </row>
    <row r="713" spans="1:10" x14ac:dyDescent="0.2">
      <c r="A713" s="626"/>
      <c r="B713" s="637"/>
      <c r="C713" s="637"/>
      <c r="D713" s="637"/>
      <c r="E713" s="637"/>
      <c r="F713" s="637"/>
      <c r="G713" s="637"/>
      <c r="H713" s="637"/>
      <c r="I713" s="637"/>
      <c r="J713" s="637"/>
    </row>
    <row r="714" spans="1:10" x14ac:dyDescent="0.2">
      <c r="A714" s="626"/>
      <c r="B714" s="637"/>
      <c r="C714" s="637"/>
      <c r="D714" s="637"/>
      <c r="E714" s="637"/>
      <c r="F714" s="637"/>
      <c r="G714" s="637"/>
      <c r="H714" s="637"/>
      <c r="I714" s="637"/>
      <c r="J714" s="637"/>
    </row>
    <row r="715" spans="1:10" x14ac:dyDescent="0.2">
      <c r="A715" s="626"/>
      <c r="B715" s="637"/>
      <c r="C715" s="637"/>
      <c r="D715" s="637"/>
      <c r="E715" s="637"/>
      <c r="F715" s="637"/>
      <c r="G715" s="637"/>
      <c r="H715" s="637"/>
      <c r="I715" s="637"/>
      <c r="J715" s="637"/>
    </row>
    <row r="716" spans="1:10" x14ac:dyDescent="0.2">
      <c r="A716" s="626"/>
      <c r="B716" s="637"/>
      <c r="C716" s="637"/>
      <c r="D716" s="637"/>
      <c r="E716" s="637"/>
      <c r="F716" s="637"/>
      <c r="G716" s="637"/>
      <c r="H716" s="637"/>
      <c r="I716" s="637"/>
      <c r="J716" s="637"/>
    </row>
    <row r="717" spans="1:10" x14ac:dyDescent="0.2">
      <c r="A717" s="626"/>
      <c r="B717" s="637"/>
      <c r="C717" s="637"/>
      <c r="D717" s="637"/>
      <c r="E717" s="637"/>
      <c r="F717" s="637"/>
      <c r="G717" s="637"/>
      <c r="H717" s="637"/>
      <c r="I717" s="637"/>
      <c r="J717" s="637"/>
    </row>
    <row r="718" spans="1:10" x14ac:dyDescent="0.2">
      <c r="A718" s="626"/>
      <c r="B718" s="637"/>
      <c r="C718" s="637"/>
      <c r="D718" s="637"/>
      <c r="E718" s="637"/>
      <c r="F718" s="637"/>
      <c r="G718" s="637"/>
      <c r="H718" s="637"/>
      <c r="I718" s="637"/>
      <c r="J718" s="637"/>
    </row>
    <row r="719" spans="1:10" x14ac:dyDescent="0.2">
      <c r="A719" s="626"/>
      <c r="B719" s="637"/>
      <c r="C719" s="637"/>
      <c r="D719" s="637"/>
      <c r="E719" s="637"/>
      <c r="F719" s="637"/>
      <c r="G719" s="637"/>
      <c r="H719" s="637"/>
      <c r="I719" s="637"/>
      <c r="J719" s="637"/>
    </row>
    <row r="720" spans="1:10" x14ac:dyDescent="0.2">
      <c r="A720" s="626"/>
      <c r="B720" s="637"/>
      <c r="C720" s="637"/>
      <c r="D720" s="637"/>
      <c r="E720" s="637"/>
      <c r="F720" s="637"/>
      <c r="G720" s="637"/>
      <c r="H720" s="637"/>
      <c r="I720" s="637"/>
      <c r="J720" s="637"/>
    </row>
    <row r="721" spans="1:10" x14ac:dyDescent="0.2">
      <c r="A721" s="626"/>
      <c r="B721" s="637"/>
      <c r="C721" s="637"/>
      <c r="D721" s="637"/>
      <c r="E721" s="637"/>
      <c r="F721" s="637"/>
      <c r="G721" s="637"/>
      <c r="H721" s="637"/>
      <c r="I721" s="637"/>
      <c r="J721" s="637"/>
    </row>
    <row r="722" spans="1:10" x14ac:dyDescent="0.2">
      <c r="A722" s="626"/>
      <c r="B722" s="637"/>
      <c r="C722" s="637"/>
      <c r="D722" s="637"/>
      <c r="E722" s="637"/>
      <c r="F722" s="637"/>
      <c r="G722" s="637"/>
      <c r="H722" s="637"/>
      <c r="I722" s="637"/>
      <c r="J722" s="637"/>
    </row>
    <row r="723" spans="1:10" x14ac:dyDescent="0.2">
      <c r="A723" s="626"/>
      <c r="B723" s="637"/>
      <c r="C723" s="637"/>
      <c r="D723" s="637"/>
      <c r="E723" s="637"/>
      <c r="F723" s="637"/>
      <c r="G723" s="637"/>
      <c r="H723" s="637"/>
      <c r="I723" s="637"/>
      <c r="J723" s="637"/>
    </row>
    <row r="724" spans="1:10" x14ac:dyDescent="0.2">
      <c r="A724" s="626"/>
      <c r="B724" s="637"/>
      <c r="C724" s="637"/>
      <c r="D724" s="637"/>
      <c r="E724" s="637"/>
      <c r="F724" s="637"/>
      <c r="G724" s="637"/>
      <c r="H724" s="637"/>
      <c r="I724" s="637"/>
      <c r="J724" s="637"/>
    </row>
    <row r="725" spans="1:10" x14ac:dyDescent="0.2">
      <c r="A725" s="626"/>
      <c r="B725" s="637"/>
      <c r="C725" s="637"/>
      <c r="D725" s="637"/>
      <c r="E725" s="637"/>
      <c r="F725" s="637"/>
      <c r="G725" s="637"/>
      <c r="H725" s="637"/>
      <c r="I725" s="637"/>
      <c r="J725" s="637"/>
    </row>
    <row r="726" spans="1:10" x14ac:dyDescent="0.2">
      <c r="A726" s="626"/>
      <c r="B726" s="637"/>
      <c r="C726" s="637"/>
      <c r="D726" s="637"/>
      <c r="E726" s="637"/>
      <c r="F726" s="637"/>
      <c r="G726" s="637"/>
      <c r="H726" s="637"/>
      <c r="I726" s="637"/>
      <c r="J726" s="637"/>
    </row>
    <row r="727" spans="1:10" x14ac:dyDescent="0.2">
      <c r="A727" s="626"/>
      <c r="B727" s="637"/>
      <c r="C727" s="637"/>
      <c r="D727" s="637"/>
      <c r="E727" s="637"/>
      <c r="F727" s="637"/>
      <c r="G727" s="637"/>
      <c r="H727" s="637"/>
      <c r="I727" s="637"/>
      <c r="J727" s="637"/>
    </row>
    <row r="728" spans="1:10" x14ac:dyDescent="0.2">
      <c r="A728" s="626"/>
      <c r="B728" s="637"/>
      <c r="C728" s="637"/>
      <c r="D728" s="637"/>
      <c r="E728" s="637"/>
      <c r="F728" s="637"/>
      <c r="G728" s="637"/>
      <c r="H728" s="637"/>
      <c r="I728" s="637"/>
      <c r="J728" s="637"/>
    </row>
    <row r="729" spans="1:10" x14ac:dyDescent="0.2">
      <c r="A729" s="626"/>
      <c r="B729" s="637"/>
      <c r="C729" s="637"/>
      <c r="D729" s="637"/>
      <c r="E729" s="637"/>
      <c r="F729" s="637"/>
      <c r="G729" s="637"/>
      <c r="H729" s="637"/>
      <c r="I729" s="637"/>
      <c r="J729" s="637"/>
    </row>
    <row r="730" spans="1:10" x14ac:dyDescent="0.2">
      <c r="A730" s="626"/>
      <c r="B730" s="637"/>
      <c r="C730" s="637"/>
      <c r="D730" s="637"/>
      <c r="E730" s="637"/>
      <c r="F730" s="637"/>
      <c r="G730" s="637"/>
      <c r="H730" s="637"/>
      <c r="I730" s="637"/>
      <c r="J730" s="637"/>
    </row>
    <row r="731" spans="1:10" x14ac:dyDescent="0.2">
      <c r="A731" s="626"/>
      <c r="B731" s="637"/>
      <c r="C731" s="637"/>
      <c r="D731" s="637"/>
      <c r="E731" s="637"/>
      <c r="F731" s="637"/>
      <c r="G731" s="637"/>
      <c r="H731" s="637"/>
      <c r="I731" s="637"/>
      <c r="J731" s="637"/>
    </row>
    <row r="732" spans="1:10" x14ac:dyDescent="0.2">
      <c r="A732" s="626"/>
      <c r="B732" s="637"/>
      <c r="C732" s="637"/>
      <c r="D732" s="637"/>
      <c r="E732" s="637"/>
      <c r="F732" s="637"/>
      <c r="G732" s="637"/>
      <c r="H732" s="637"/>
      <c r="I732" s="637"/>
      <c r="J732" s="637"/>
    </row>
    <row r="733" spans="1:10" x14ac:dyDescent="0.2">
      <c r="A733" s="626"/>
      <c r="B733" s="637"/>
      <c r="C733" s="637"/>
      <c r="D733" s="637"/>
      <c r="E733" s="637"/>
      <c r="F733" s="637"/>
      <c r="G733" s="637"/>
      <c r="H733" s="637"/>
      <c r="I733" s="637"/>
      <c r="J733" s="637"/>
    </row>
    <row r="734" spans="1:10" x14ac:dyDescent="0.2">
      <c r="A734" s="626"/>
      <c r="B734" s="637"/>
      <c r="C734" s="637"/>
      <c r="D734" s="637"/>
      <c r="E734" s="637"/>
      <c r="F734" s="637"/>
      <c r="G734" s="637"/>
      <c r="H734" s="637"/>
      <c r="I734" s="637"/>
      <c r="J734" s="637"/>
    </row>
    <row r="735" spans="1:10" x14ac:dyDescent="0.2">
      <c r="A735" s="626"/>
      <c r="B735" s="637"/>
      <c r="C735" s="637"/>
      <c r="D735" s="637"/>
      <c r="E735" s="637"/>
      <c r="F735" s="637"/>
      <c r="G735" s="637"/>
      <c r="H735" s="637"/>
      <c r="I735" s="637"/>
      <c r="J735" s="637"/>
    </row>
    <row r="736" spans="1:10" x14ac:dyDescent="0.2">
      <c r="A736" s="626"/>
      <c r="B736" s="637"/>
      <c r="C736" s="637"/>
      <c r="D736" s="637"/>
      <c r="E736" s="637"/>
      <c r="F736" s="637"/>
      <c r="G736" s="637"/>
      <c r="H736" s="637"/>
      <c r="I736" s="637"/>
      <c r="J736" s="637"/>
    </row>
    <row r="737" spans="1:10" x14ac:dyDescent="0.2">
      <c r="A737" s="626"/>
      <c r="B737" s="637"/>
      <c r="C737" s="637"/>
      <c r="D737" s="637"/>
      <c r="E737" s="637"/>
      <c r="F737" s="637"/>
      <c r="G737" s="637"/>
      <c r="H737" s="637"/>
      <c r="I737" s="637"/>
      <c r="J737" s="637"/>
    </row>
    <row r="738" spans="1:10" x14ac:dyDescent="0.2">
      <c r="A738" s="626"/>
      <c r="B738" s="637"/>
      <c r="C738" s="637"/>
      <c r="D738" s="637"/>
      <c r="E738" s="637"/>
      <c r="F738" s="637"/>
      <c r="G738" s="637"/>
      <c r="H738" s="637"/>
      <c r="I738" s="637"/>
      <c r="J738" s="637"/>
    </row>
    <row r="739" spans="1:10" x14ac:dyDescent="0.2">
      <c r="A739" s="626"/>
      <c r="B739" s="637"/>
      <c r="C739" s="637"/>
      <c r="D739" s="637"/>
      <c r="E739" s="637"/>
      <c r="F739" s="637"/>
      <c r="G739" s="637"/>
      <c r="H739" s="637"/>
      <c r="I739" s="637"/>
      <c r="J739" s="637"/>
    </row>
    <row r="740" spans="1:10" x14ac:dyDescent="0.2">
      <c r="A740" s="626"/>
      <c r="B740" s="637"/>
      <c r="C740" s="637"/>
      <c r="D740" s="637"/>
      <c r="E740" s="637"/>
      <c r="F740" s="637"/>
      <c r="G740" s="637"/>
      <c r="H740" s="637"/>
      <c r="I740" s="637"/>
      <c r="J740" s="637"/>
    </row>
    <row r="741" spans="1:10" x14ac:dyDescent="0.2">
      <c r="A741" s="626"/>
      <c r="B741" s="637"/>
      <c r="C741" s="637"/>
      <c r="D741" s="637"/>
      <c r="E741" s="637"/>
      <c r="F741" s="637"/>
      <c r="G741" s="637"/>
      <c r="H741" s="637"/>
      <c r="I741" s="637"/>
      <c r="J741" s="637"/>
    </row>
    <row r="742" spans="1:10" x14ac:dyDescent="0.2">
      <c r="A742" s="626"/>
      <c r="B742" s="637"/>
      <c r="C742" s="637"/>
      <c r="D742" s="637"/>
      <c r="E742" s="637"/>
      <c r="F742" s="637"/>
      <c r="G742" s="637"/>
      <c r="H742" s="637"/>
      <c r="I742" s="637"/>
      <c r="J742" s="637"/>
    </row>
    <row r="743" spans="1:10" x14ac:dyDescent="0.2">
      <c r="A743" s="626"/>
      <c r="B743" s="637"/>
      <c r="C743" s="637"/>
      <c r="D743" s="637"/>
      <c r="E743" s="637"/>
      <c r="F743" s="637"/>
      <c r="G743" s="637"/>
      <c r="H743" s="637"/>
      <c r="I743" s="637"/>
      <c r="J743" s="637"/>
    </row>
    <row r="744" spans="1:10" x14ac:dyDescent="0.2">
      <c r="A744" s="626"/>
      <c r="B744" s="637"/>
      <c r="C744" s="637"/>
      <c r="D744" s="637"/>
      <c r="E744" s="637"/>
      <c r="F744" s="637"/>
      <c r="G744" s="637"/>
      <c r="H744" s="637"/>
      <c r="I744" s="637"/>
      <c r="J744" s="637"/>
    </row>
    <row r="745" spans="1:10" x14ac:dyDescent="0.2">
      <c r="A745" s="626"/>
      <c r="B745" s="637"/>
      <c r="C745" s="637"/>
      <c r="D745" s="637"/>
      <c r="E745" s="637"/>
      <c r="F745" s="637"/>
      <c r="G745" s="637"/>
      <c r="H745" s="637"/>
      <c r="I745" s="637"/>
      <c r="J745" s="637"/>
    </row>
    <row r="746" spans="1:10" x14ac:dyDescent="0.2">
      <c r="A746" s="626"/>
      <c r="B746" s="637"/>
      <c r="C746" s="637"/>
      <c r="D746" s="637"/>
      <c r="E746" s="637"/>
      <c r="F746" s="637"/>
      <c r="G746" s="637"/>
      <c r="H746" s="637"/>
      <c r="I746" s="637"/>
      <c r="J746" s="637"/>
    </row>
    <row r="747" spans="1:10" x14ac:dyDescent="0.2">
      <c r="A747" s="626"/>
      <c r="B747" s="637"/>
      <c r="C747" s="637"/>
      <c r="D747" s="637"/>
      <c r="E747" s="637"/>
      <c r="F747" s="637"/>
      <c r="G747" s="637"/>
      <c r="H747" s="637"/>
      <c r="I747" s="637"/>
      <c r="J747" s="637"/>
    </row>
    <row r="748" spans="1:10" x14ac:dyDescent="0.2">
      <c r="A748" s="626"/>
      <c r="B748" s="637"/>
      <c r="C748" s="637"/>
      <c r="D748" s="637"/>
      <c r="E748" s="637"/>
      <c r="F748" s="637"/>
      <c r="G748" s="637"/>
      <c r="H748" s="637"/>
      <c r="I748" s="637"/>
      <c r="J748" s="637"/>
    </row>
    <row r="749" spans="1:10" x14ac:dyDescent="0.2">
      <c r="A749" s="626"/>
      <c r="B749" s="637"/>
      <c r="C749" s="637"/>
      <c r="D749" s="637"/>
      <c r="E749" s="637"/>
      <c r="F749" s="637"/>
      <c r="G749" s="637"/>
      <c r="H749" s="637"/>
      <c r="I749" s="637"/>
      <c r="J749" s="637"/>
    </row>
    <row r="750" spans="1:10" x14ac:dyDescent="0.2">
      <c r="A750" s="626"/>
      <c r="B750" s="637"/>
      <c r="C750" s="637"/>
      <c r="D750" s="637"/>
      <c r="E750" s="637"/>
      <c r="F750" s="637"/>
      <c r="G750" s="637"/>
      <c r="H750" s="637"/>
      <c r="I750" s="637"/>
      <c r="J750" s="637"/>
    </row>
    <row r="751" spans="1:10" x14ac:dyDescent="0.2">
      <c r="A751" s="626"/>
      <c r="B751" s="637"/>
      <c r="C751" s="637"/>
      <c r="D751" s="637"/>
      <c r="E751" s="637"/>
      <c r="F751" s="637"/>
      <c r="G751" s="637"/>
      <c r="H751" s="637"/>
      <c r="I751" s="637"/>
      <c r="J751" s="637"/>
    </row>
    <row r="752" spans="1:10" x14ac:dyDescent="0.2">
      <c r="A752" s="626"/>
      <c r="B752" s="637"/>
      <c r="C752" s="637"/>
      <c r="D752" s="637"/>
      <c r="E752" s="637"/>
      <c r="F752" s="637"/>
      <c r="G752" s="637"/>
      <c r="H752" s="637"/>
      <c r="I752" s="637"/>
      <c r="J752" s="637"/>
    </row>
    <row r="753" spans="1:10" x14ac:dyDescent="0.2">
      <c r="A753" s="626"/>
      <c r="B753" s="637"/>
      <c r="C753" s="637"/>
      <c r="D753" s="637"/>
      <c r="E753" s="637"/>
      <c r="F753" s="637"/>
      <c r="G753" s="637"/>
      <c r="H753" s="637"/>
      <c r="I753" s="637"/>
      <c r="J753" s="637"/>
    </row>
    <row r="754" spans="1:10" x14ac:dyDescent="0.2">
      <c r="A754" s="626"/>
      <c r="B754" s="637"/>
      <c r="C754" s="637"/>
      <c r="D754" s="637"/>
      <c r="E754" s="637"/>
      <c r="F754" s="637"/>
      <c r="G754" s="637"/>
      <c r="H754" s="637"/>
      <c r="I754" s="637"/>
      <c r="J754" s="637"/>
    </row>
    <row r="755" spans="1:10" x14ac:dyDescent="0.2">
      <c r="A755" s="626"/>
      <c r="B755" s="637"/>
      <c r="C755" s="637"/>
      <c r="D755" s="637"/>
      <c r="E755" s="637"/>
      <c r="F755" s="637"/>
      <c r="G755" s="637"/>
      <c r="H755" s="637"/>
      <c r="I755" s="637"/>
      <c r="J755" s="637"/>
    </row>
    <row r="756" spans="1:10" x14ac:dyDescent="0.2">
      <c r="A756" s="626"/>
      <c r="B756" s="637"/>
      <c r="C756" s="637"/>
      <c r="D756" s="637"/>
      <c r="E756" s="637"/>
      <c r="F756" s="637"/>
      <c r="G756" s="637"/>
      <c r="H756" s="637"/>
      <c r="I756" s="637"/>
      <c r="J756" s="637"/>
    </row>
    <row r="757" spans="1:10" x14ac:dyDescent="0.2">
      <c r="A757" s="626"/>
      <c r="B757" s="637"/>
      <c r="C757" s="637"/>
      <c r="D757" s="637"/>
      <c r="E757" s="637"/>
      <c r="F757" s="637"/>
      <c r="G757" s="637"/>
      <c r="H757" s="637"/>
      <c r="I757" s="637"/>
      <c r="J757" s="637"/>
    </row>
    <row r="758" spans="1:10" x14ac:dyDescent="0.2">
      <c r="A758" s="626"/>
      <c r="B758" s="637"/>
      <c r="C758" s="637"/>
      <c r="D758" s="637"/>
      <c r="E758" s="637"/>
      <c r="F758" s="637"/>
      <c r="G758" s="637"/>
      <c r="H758" s="637"/>
      <c r="I758" s="637"/>
      <c r="J758" s="637"/>
    </row>
    <row r="759" spans="1:10" x14ac:dyDescent="0.2">
      <c r="A759" s="626"/>
      <c r="B759" s="637"/>
      <c r="C759" s="637"/>
      <c r="D759" s="637"/>
      <c r="E759" s="637"/>
      <c r="F759" s="637"/>
      <c r="G759" s="637"/>
      <c r="H759" s="637"/>
      <c r="I759" s="637"/>
      <c r="J759" s="637"/>
    </row>
    <row r="760" spans="1:10" x14ac:dyDescent="0.2">
      <c r="A760" s="626"/>
      <c r="B760" s="637"/>
      <c r="C760" s="637"/>
      <c r="D760" s="637"/>
      <c r="E760" s="637"/>
      <c r="F760" s="637"/>
      <c r="G760" s="637"/>
      <c r="H760" s="637"/>
      <c r="I760" s="637"/>
      <c r="J760" s="637"/>
    </row>
    <row r="761" spans="1:10" x14ac:dyDescent="0.2">
      <c r="A761" s="626"/>
      <c r="B761" s="637"/>
      <c r="C761" s="637"/>
      <c r="D761" s="637"/>
      <c r="E761" s="637"/>
      <c r="F761" s="637"/>
      <c r="G761" s="637"/>
      <c r="H761" s="637"/>
      <c r="I761" s="637"/>
      <c r="J761" s="637"/>
    </row>
    <row r="762" spans="1:10" x14ac:dyDescent="0.2">
      <c r="A762" s="626"/>
      <c r="B762" s="637"/>
      <c r="C762" s="637"/>
      <c r="D762" s="637"/>
      <c r="E762" s="637"/>
      <c r="F762" s="637"/>
      <c r="G762" s="637"/>
      <c r="H762" s="637"/>
      <c r="I762" s="637"/>
      <c r="J762" s="637"/>
    </row>
    <row r="763" spans="1:10" x14ac:dyDescent="0.2">
      <c r="A763" s="626"/>
      <c r="B763" s="637"/>
      <c r="C763" s="637"/>
      <c r="D763" s="637"/>
      <c r="E763" s="637"/>
      <c r="F763" s="637"/>
      <c r="G763" s="637"/>
      <c r="H763" s="637"/>
      <c r="I763" s="637"/>
      <c r="J763" s="637"/>
    </row>
    <row r="764" spans="1:10" x14ac:dyDescent="0.2">
      <c r="A764" s="626"/>
      <c r="B764" s="637"/>
      <c r="C764" s="637"/>
      <c r="D764" s="637"/>
      <c r="E764" s="637"/>
      <c r="F764" s="637"/>
      <c r="G764" s="637"/>
      <c r="H764" s="637"/>
      <c r="I764" s="637"/>
      <c r="J764" s="637"/>
    </row>
    <row r="765" spans="1:10" x14ac:dyDescent="0.2">
      <c r="A765" s="626"/>
      <c r="B765" s="637"/>
      <c r="C765" s="637"/>
      <c r="D765" s="637"/>
      <c r="E765" s="637"/>
      <c r="F765" s="637"/>
      <c r="G765" s="637"/>
      <c r="H765" s="637"/>
      <c r="I765" s="637"/>
      <c r="J765" s="637"/>
    </row>
    <row r="766" spans="1:10" x14ac:dyDescent="0.2">
      <c r="A766" s="626"/>
      <c r="B766" s="637"/>
      <c r="C766" s="637"/>
      <c r="D766" s="637"/>
      <c r="E766" s="637"/>
      <c r="F766" s="637"/>
      <c r="G766" s="637"/>
      <c r="H766" s="637"/>
      <c r="I766" s="637"/>
      <c r="J766" s="637"/>
    </row>
    <row r="767" spans="1:10" x14ac:dyDescent="0.2">
      <c r="A767" s="626"/>
      <c r="B767" s="637"/>
      <c r="C767" s="637"/>
      <c r="D767" s="637"/>
      <c r="E767" s="637"/>
      <c r="F767" s="637"/>
      <c r="G767" s="637"/>
      <c r="H767" s="637"/>
      <c r="I767" s="637"/>
      <c r="J767" s="637"/>
    </row>
    <row r="768" spans="1:10" x14ac:dyDescent="0.2">
      <c r="A768" s="626"/>
      <c r="B768" s="637"/>
      <c r="C768" s="637"/>
      <c r="D768" s="637"/>
      <c r="E768" s="637"/>
      <c r="F768" s="637"/>
      <c r="G768" s="637"/>
      <c r="H768" s="637"/>
      <c r="I768" s="637"/>
      <c r="J768" s="637"/>
    </row>
    <row r="769" spans="1:10" x14ac:dyDescent="0.2">
      <c r="A769" s="626"/>
      <c r="B769" s="637"/>
      <c r="C769" s="637"/>
      <c r="D769" s="637"/>
      <c r="E769" s="637"/>
      <c r="F769" s="637"/>
      <c r="G769" s="637"/>
      <c r="H769" s="637"/>
      <c r="I769" s="637"/>
      <c r="J769" s="637"/>
    </row>
    <row r="770" spans="1:10" x14ac:dyDescent="0.2">
      <c r="A770" s="626"/>
      <c r="B770" s="637"/>
      <c r="C770" s="637"/>
      <c r="D770" s="637"/>
      <c r="E770" s="637"/>
      <c r="F770" s="637"/>
      <c r="G770" s="637"/>
      <c r="H770" s="637"/>
      <c r="I770" s="637"/>
      <c r="J770" s="637"/>
    </row>
    <row r="771" spans="1:10" x14ac:dyDescent="0.2">
      <c r="A771" s="626"/>
      <c r="B771" s="637"/>
      <c r="C771" s="637"/>
      <c r="D771" s="637"/>
      <c r="E771" s="637"/>
      <c r="F771" s="637"/>
      <c r="G771" s="637"/>
      <c r="H771" s="637"/>
      <c r="I771" s="637"/>
      <c r="J771" s="637"/>
    </row>
    <row r="772" spans="1:10" x14ac:dyDescent="0.2">
      <c r="A772" s="626"/>
      <c r="B772" s="637"/>
      <c r="C772" s="637"/>
      <c r="D772" s="637"/>
      <c r="E772" s="637"/>
      <c r="F772" s="637"/>
      <c r="G772" s="637"/>
      <c r="H772" s="637"/>
      <c r="I772" s="637"/>
      <c r="J772" s="637"/>
    </row>
    <row r="773" spans="1:10" x14ac:dyDescent="0.2">
      <c r="A773" s="626"/>
      <c r="B773" s="637"/>
      <c r="C773" s="637"/>
      <c r="D773" s="637"/>
      <c r="E773" s="637"/>
      <c r="F773" s="637"/>
      <c r="G773" s="637"/>
      <c r="H773" s="637"/>
      <c r="I773" s="637"/>
      <c r="J773" s="637"/>
    </row>
    <row r="774" spans="1:10" x14ac:dyDescent="0.2">
      <c r="A774" s="626"/>
      <c r="B774" s="637"/>
      <c r="C774" s="637"/>
      <c r="D774" s="637"/>
      <c r="E774" s="637"/>
      <c r="F774" s="637"/>
      <c r="G774" s="637"/>
      <c r="H774" s="637"/>
      <c r="I774" s="637"/>
      <c r="J774" s="637"/>
    </row>
    <row r="775" spans="1:10" x14ac:dyDescent="0.2">
      <c r="A775" s="626"/>
      <c r="B775" s="637"/>
      <c r="C775" s="637"/>
      <c r="D775" s="637"/>
      <c r="E775" s="637"/>
      <c r="F775" s="637"/>
      <c r="G775" s="637"/>
      <c r="H775" s="637"/>
      <c r="I775" s="637"/>
      <c r="J775" s="637"/>
    </row>
    <row r="776" spans="1:10" x14ac:dyDescent="0.2">
      <c r="A776" s="626"/>
      <c r="B776" s="637"/>
      <c r="C776" s="637"/>
      <c r="D776" s="637"/>
      <c r="E776" s="637"/>
      <c r="F776" s="637"/>
      <c r="G776" s="637"/>
      <c r="H776" s="637"/>
      <c r="I776" s="637"/>
      <c r="J776" s="637"/>
    </row>
    <row r="777" spans="1:10" x14ac:dyDescent="0.2">
      <c r="A777" s="626"/>
      <c r="B777" s="637"/>
      <c r="C777" s="637"/>
      <c r="D777" s="637"/>
      <c r="E777" s="637"/>
      <c r="F777" s="637"/>
      <c r="G777" s="637"/>
      <c r="H777" s="637"/>
      <c r="I777" s="637"/>
      <c r="J777" s="637"/>
    </row>
    <row r="778" spans="1:10" x14ac:dyDescent="0.2">
      <c r="A778" s="626"/>
      <c r="B778" s="637"/>
      <c r="C778" s="637"/>
      <c r="D778" s="637"/>
      <c r="E778" s="637"/>
      <c r="F778" s="637"/>
      <c r="G778" s="637"/>
      <c r="H778" s="637"/>
      <c r="I778" s="637"/>
      <c r="J778" s="637"/>
    </row>
    <row r="779" spans="1:10" x14ac:dyDescent="0.2">
      <c r="A779" s="626"/>
      <c r="B779" s="637"/>
      <c r="C779" s="637"/>
      <c r="D779" s="637"/>
      <c r="E779" s="637"/>
      <c r="F779" s="637"/>
      <c r="G779" s="637"/>
      <c r="H779" s="637"/>
      <c r="I779" s="637"/>
      <c r="J779" s="637"/>
    </row>
    <row r="780" spans="1:10" x14ac:dyDescent="0.2">
      <c r="A780" s="626"/>
      <c r="B780" s="637"/>
      <c r="C780" s="637"/>
      <c r="D780" s="637"/>
      <c r="E780" s="637"/>
      <c r="F780" s="637"/>
      <c r="G780" s="637"/>
      <c r="H780" s="637"/>
      <c r="I780" s="637"/>
      <c r="J780" s="637"/>
    </row>
    <row r="781" spans="1:10" x14ac:dyDescent="0.2">
      <c r="A781" s="626"/>
      <c r="B781" s="637"/>
      <c r="C781" s="637"/>
      <c r="D781" s="637"/>
      <c r="E781" s="637"/>
      <c r="F781" s="637"/>
      <c r="G781" s="637"/>
      <c r="H781" s="637"/>
      <c r="I781" s="637"/>
      <c r="J781" s="637"/>
    </row>
    <row r="782" spans="1:10" x14ac:dyDescent="0.2">
      <c r="A782" s="626"/>
      <c r="B782" s="637"/>
      <c r="C782" s="637"/>
      <c r="D782" s="637"/>
      <c r="E782" s="637"/>
      <c r="F782" s="637"/>
      <c r="G782" s="637"/>
      <c r="H782" s="637"/>
      <c r="I782" s="637"/>
      <c r="J782" s="637"/>
    </row>
    <row r="783" spans="1:10" x14ac:dyDescent="0.2">
      <c r="A783" s="626"/>
      <c r="B783" s="637"/>
      <c r="C783" s="637"/>
      <c r="D783" s="637"/>
      <c r="E783" s="637"/>
      <c r="F783" s="637"/>
      <c r="G783" s="637"/>
      <c r="H783" s="637"/>
      <c r="I783" s="637"/>
      <c r="J783" s="637"/>
    </row>
    <row r="784" spans="1:10" x14ac:dyDescent="0.2">
      <c r="A784" s="626"/>
      <c r="B784" s="637"/>
      <c r="C784" s="637"/>
      <c r="D784" s="637"/>
      <c r="E784" s="637"/>
      <c r="F784" s="637"/>
      <c r="G784" s="637"/>
      <c r="H784" s="637"/>
      <c r="I784" s="637"/>
      <c r="J784" s="637"/>
    </row>
    <row r="785" spans="1:10" x14ac:dyDescent="0.2">
      <c r="A785" s="626"/>
      <c r="B785" s="637"/>
      <c r="C785" s="637"/>
      <c r="D785" s="637"/>
      <c r="E785" s="637"/>
      <c r="F785" s="637"/>
      <c r="G785" s="637"/>
      <c r="H785" s="637"/>
      <c r="I785" s="637"/>
      <c r="J785" s="637"/>
    </row>
    <row r="786" spans="1:10" x14ac:dyDescent="0.2">
      <c r="A786" s="626"/>
      <c r="B786" s="637"/>
      <c r="C786" s="637"/>
      <c r="D786" s="637"/>
      <c r="E786" s="637"/>
      <c r="F786" s="637"/>
      <c r="G786" s="637"/>
      <c r="H786" s="637"/>
      <c r="I786" s="637"/>
      <c r="J786" s="637"/>
    </row>
    <row r="787" spans="1:10" x14ac:dyDescent="0.2">
      <c r="A787" s="626"/>
      <c r="B787" s="637"/>
      <c r="C787" s="637"/>
      <c r="D787" s="637"/>
      <c r="E787" s="637"/>
      <c r="F787" s="637"/>
      <c r="G787" s="637"/>
      <c r="H787" s="637"/>
      <c r="I787" s="637"/>
      <c r="J787" s="637"/>
    </row>
    <row r="788" spans="1:10" x14ac:dyDescent="0.2">
      <c r="A788" s="626"/>
      <c r="B788" s="637"/>
      <c r="C788" s="637"/>
      <c r="D788" s="637"/>
      <c r="E788" s="637"/>
      <c r="F788" s="637"/>
      <c r="G788" s="637"/>
      <c r="H788" s="637"/>
      <c r="I788" s="637"/>
      <c r="J788" s="637"/>
    </row>
    <row r="789" spans="1:10" x14ac:dyDescent="0.2">
      <c r="A789" s="626"/>
      <c r="B789" s="637"/>
      <c r="C789" s="637"/>
      <c r="D789" s="637"/>
      <c r="E789" s="637"/>
      <c r="F789" s="637"/>
      <c r="G789" s="637"/>
      <c r="H789" s="637"/>
      <c r="I789" s="637"/>
      <c r="J789" s="637"/>
    </row>
    <row r="790" spans="1:10" x14ac:dyDescent="0.2">
      <c r="A790" s="626"/>
      <c r="B790" s="637"/>
      <c r="C790" s="637"/>
      <c r="D790" s="637"/>
      <c r="E790" s="637"/>
      <c r="F790" s="637"/>
      <c r="G790" s="637"/>
      <c r="H790" s="637"/>
      <c r="I790" s="637"/>
      <c r="J790" s="637"/>
    </row>
    <row r="791" spans="1:10" x14ac:dyDescent="0.2">
      <c r="A791" s="626"/>
      <c r="B791" s="637"/>
      <c r="C791" s="637"/>
      <c r="D791" s="637"/>
      <c r="E791" s="637"/>
      <c r="F791" s="637"/>
      <c r="G791" s="637"/>
      <c r="H791" s="637"/>
      <c r="I791" s="637"/>
      <c r="J791" s="637"/>
    </row>
    <row r="792" spans="1:10" x14ac:dyDescent="0.2">
      <c r="A792" s="626"/>
      <c r="B792" s="637"/>
      <c r="C792" s="637"/>
      <c r="D792" s="637"/>
      <c r="E792" s="637"/>
      <c r="F792" s="637"/>
      <c r="G792" s="637"/>
      <c r="H792" s="637"/>
      <c r="I792" s="637"/>
      <c r="J792" s="637"/>
    </row>
    <row r="793" spans="1:10" x14ac:dyDescent="0.2">
      <c r="A793" s="626"/>
      <c r="B793" s="637"/>
      <c r="C793" s="637"/>
      <c r="D793" s="637"/>
      <c r="E793" s="637"/>
      <c r="F793" s="637"/>
      <c r="G793" s="637"/>
      <c r="H793" s="637"/>
      <c r="I793" s="637"/>
      <c r="J793" s="637"/>
    </row>
    <row r="794" spans="1:10" x14ac:dyDescent="0.2">
      <c r="A794" s="626"/>
      <c r="B794" s="637"/>
      <c r="C794" s="637"/>
      <c r="D794" s="637"/>
      <c r="E794" s="637"/>
      <c r="F794" s="637"/>
      <c r="G794" s="637"/>
      <c r="H794" s="637"/>
      <c r="I794" s="637"/>
      <c r="J794" s="637"/>
    </row>
    <row r="795" spans="1:10" x14ac:dyDescent="0.2">
      <c r="A795" s="626"/>
      <c r="B795" s="637"/>
      <c r="C795" s="637"/>
      <c r="D795" s="637"/>
      <c r="E795" s="637"/>
      <c r="F795" s="637"/>
      <c r="G795" s="637"/>
      <c r="H795" s="637"/>
      <c r="I795" s="637"/>
      <c r="J795" s="637"/>
    </row>
    <row r="796" spans="1:10" x14ac:dyDescent="0.2">
      <c r="A796" s="626"/>
      <c r="B796" s="637"/>
      <c r="C796" s="637"/>
      <c r="D796" s="637"/>
      <c r="E796" s="637"/>
      <c r="F796" s="637"/>
      <c r="G796" s="637"/>
      <c r="H796" s="637"/>
      <c r="I796" s="637"/>
      <c r="J796" s="637"/>
    </row>
    <row r="797" spans="1:10" x14ac:dyDescent="0.2">
      <c r="A797" s="626"/>
      <c r="B797" s="637"/>
      <c r="C797" s="637"/>
      <c r="D797" s="637"/>
      <c r="E797" s="637"/>
      <c r="F797" s="637"/>
      <c r="G797" s="637"/>
      <c r="H797" s="637"/>
      <c r="I797" s="637"/>
      <c r="J797" s="637"/>
    </row>
    <row r="798" spans="1:10" x14ac:dyDescent="0.2">
      <c r="A798" s="626"/>
      <c r="B798" s="637"/>
      <c r="C798" s="637"/>
      <c r="D798" s="637"/>
      <c r="E798" s="637"/>
      <c r="F798" s="637"/>
      <c r="G798" s="637"/>
      <c r="H798" s="637"/>
      <c r="I798" s="637"/>
      <c r="J798" s="637"/>
    </row>
    <row r="799" spans="1:10" x14ac:dyDescent="0.2">
      <c r="A799" s="626"/>
      <c r="B799" s="637"/>
      <c r="C799" s="637"/>
      <c r="D799" s="637"/>
      <c r="E799" s="637"/>
      <c r="F799" s="637"/>
      <c r="G799" s="637"/>
      <c r="H799" s="637"/>
      <c r="I799" s="637"/>
      <c r="J799" s="637"/>
    </row>
    <row r="800" spans="1:10" x14ac:dyDescent="0.2">
      <c r="A800" s="626"/>
      <c r="B800" s="637"/>
      <c r="C800" s="637"/>
      <c r="D800" s="637"/>
      <c r="E800" s="637"/>
      <c r="F800" s="637"/>
      <c r="G800" s="637"/>
      <c r="H800" s="637"/>
      <c r="I800" s="637"/>
      <c r="J800" s="637"/>
    </row>
    <row r="801" spans="1:10" x14ac:dyDescent="0.2">
      <c r="A801" s="626"/>
      <c r="B801" s="637"/>
      <c r="C801" s="637"/>
      <c r="D801" s="637"/>
      <c r="E801" s="637"/>
      <c r="F801" s="637"/>
      <c r="G801" s="637"/>
      <c r="H801" s="637"/>
      <c r="I801" s="637"/>
      <c r="J801" s="637"/>
    </row>
    <row r="802" spans="1:10" x14ac:dyDescent="0.2">
      <c r="A802" s="626"/>
      <c r="B802" s="637"/>
      <c r="C802" s="637"/>
      <c r="D802" s="637"/>
      <c r="E802" s="637"/>
      <c r="F802" s="637"/>
      <c r="G802" s="637"/>
      <c r="H802" s="637"/>
      <c r="I802" s="637"/>
      <c r="J802" s="637"/>
    </row>
    <row r="803" spans="1:10" x14ac:dyDescent="0.2">
      <c r="A803" s="626"/>
      <c r="B803" s="637"/>
      <c r="C803" s="637"/>
      <c r="D803" s="637"/>
      <c r="E803" s="637"/>
      <c r="F803" s="637"/>
      <c r="G803" s="637"/>
      <c r="H803" s="637"/>
      <c r="I803" s="637"/>
      <c r="J803" s="637"/>
    </row>
    <row r="804" spans="1:10" x14ac:dyDescent="0.2">
      <c r="A804" s="626"/>
      <c r="B804" s="637"/>
      <c r="C804" s="637"/>
      <c r="D804" s="637"/>
      <c r="E804" s="637"/>
      <c r="F804" s="637"/>
      <c r="G804" s="637"/>
      <c r="H804" s="637"/>
      <c r="I804" s="637"/>
      <c r="J804" s="637"/>
    </row>
    <row r="805" spans="1:10" x14ac:dyDescent="0.2">
      <c r="A805" s="626"/>
      <c r="B805" s="637"/>
      <c r="C805" s="637"/>
      <c r="D805" s="637"/>
      <c r="E805" s="637"/>
      <c r="F805" s="637"/>
      <c r="G805" s="637"/>
      <c r="H805" s="637"/>
      <c r="I805" s="637"/>
      <c r="J805" s="637"/>
    </row>
    <row r="806" spans="1:10" x14ac:dyDescent="0.2">
      <c r="A806" s="626"/>
      <c r="B806" s="637"/>
      <c r="C806" s="637"/>
      <c r="D806" s="637"/>
      <c r="E806" s="637"/>
      <c r="F806" s="637"/>
      <c r="G806" s="637"/>
      <c r="H806" s="637"/>
      <c r="I806" s="637"/>
      <c r="J806" s="637"/>
    </row>
    <row r="807" spans="1:10" x14ac:dyDescent="0.2">
      <c r="A807" s="626"/>
      <c r="B807" s="637"/>
      <c r="C807" s="637"/>
      <c r="D807" s="637"/>
      <c r="E807" s="637"/>
      <c r="F807" s="637"/>
      <c r="G807" s="637"/>
      <c r="H807" s="637"/>
      <c r="I807" s="637"/>
      <c r="J807" s="637"/>
    </row>
    <row r="808" spans="1:10" x14ac:dyDescent="0.2">
      <c r="A808" s="626"/>
      <c r="B808" s="637"/>
      <c r="C808" s="637"/>
      <c r="D808" s="637"/>
      <c r="E808" s="637"/>
      <c r="F808" s="637"/>
      <c r="G808" s="637"/>
      <c r="H808" s="637"/>
      <c r="I808" s="637"/>
      <c r="J808" s="637"/>
    </row>
    <row r="809" spans="1:10" x14ac:dyDescent="0.2">
      <c r="A809" s="626"/>
      <c r="B809" s="637"/>
      <c r="C809" s="637"/>
      <c r="D809" s="637"/>
      <c r="E809" s="637"/>
      <c r="F809" s="637"/>
      <c r="G809" s="637"/>
      <c r="H809" s="637"/>
      <c r="I809" s="637"/>
      <c r="J809" s="637"/>
    </row>
    <row r="810" spans="1:10" x14ac:dyDescent="0.2">
      <c r="A810" s="626"/>
      <c r="B810" s="637"/>
      <c r="C810" s="637"/>
      <c r="D810" s="637"/>
      <c r="E810" s="637"/>
      <c r="F810" s="637"/>
      <c r="G810" s="637"/>
      <c r="H810" s="637"/>
      <c r="I810" s="637"/>
      <c r="J810" s="637"/>
    </row>
    <row r="811" spans="1:10" x14ac:dyDescent="0.2">
      <c r="A811" s="626"/>
      <c r="B811" s="637"/>
      <c r="C811" s="637"/>
      <c r="D811" s="637"/>
      <c r="E811" s="637"/>
      <c r="F811" s="637"/>
      <c r="G811" s="637"/>
      <c r="H811" s="637"/>
      <c r="I811" s="637"/>
      <c r="J811" s="637"/>
    </row>
    <row r="812" spans="1:10" x14ac:dyDescent="0.2">
      <c r="A812" s="626"/>
      <c r="B812" s="637"/>
      <c r="C812" s="637"/>
      <c r="D812" s="637"/>
      <c r="E812" s="637"/>
      <c r="F812" s="637"/>
      <c r="G812" s="637"/>
      <c r="H812" s="637"/>
      <c r="I812" s="637"/>
      <c r="J812" s="637"/>
    </row>
    <row r="813" spans="1:10" x14ac:dyDescent="0.2">
      <c r="A813" s="626"/>
      <c r="B813" s="637"/>
      <c r="C813" s="637"/>
      <c r="D813" s="637"/>
      <c r="E813" s="637"/>
      <c r="F813" s="637"/>
      <c r="G813" s="637"/>
      <c r="H813" s="637"/>
      <c r="I813" s="637"/>
      <c r="J813" s="637"/>
    </row>
    <row r="814" spans="1:10" x14ac:dyDescent="0.2">
      <c r="A814" s="626"/>
      <c r="B814" s="637"/>
      <c r="C814" s="637"/>
      <c r="D814" s="637"/>
      <c r="E814" s="637"/>
      <c r="F814" s="637"/>
      <c r="G814" s="637"/>
      <c r="H814" s="637"/>
      <c r="I814" s="637"/>
      <c r="J814" s="637"/>
    </row>
    <row r="815" spans="1:10" x14ac:dyDescent="0.2">
      <c r="A815" s="626"/>
      <c r="B815" s="637"/>
      <c r="C815" s="637"/>
      <c r="D815" s="637"/>
      <c r="E815" s="637"/>
      <c r="F815" s="637"/>
      <c r="G815" s="637"/>
      <c r="H815" s="637"/>
      <c r="I815" s="637"/>
      <c r="J815" s="637"/>
    </row>
    <row r="816" spans="1:10" x14ac:dyDescent="0.2">
      <c r="A816" s="626"/>
      <c r="B816" s="637"/>
      <c r="C816" s="637"/>
      <c r="D816" s="637"/>
      <c r="E816" s="637"/>
      <c r="F816" s="637"/>
      <c r="G816" s="637"/>
      <c r="H816" s="637"/>
      <c r="I816" s="637"/>
      <c r="J816" s="637"/>
    </row>
    <row r="817" spans="1:10" x14ac:dyDescent="0.2">
      <c r="A817" s="626"/>
      <c r="B817" s="637"/>
      <c r="C817" s="637"/>
      <c r="D817" s="637"/>
      <c r="E817" s="637"/>
      <c r="F817" s="637"/>
      <c r="G817" s="637"/>
      <c r="H817" s="637"/>
      <c r="I817" s="637"/>
      <c r="J817" s="637"/>
    </row>
    <row r="818" spans="1:10" x14ac:dyDescent="0.2">
      <c r="A818" s="626"/>
      <c r="B818" s="637"/>
      <c r="C818" s="637"/>
      <c r="D818" s="637"/>
      <c r="E818" s="637"/>
      <c r="F818" s="637"/>
      <c r="G818" s="637"/>
      <c r="H818" s="637"/>
      <c r="I818" s="637"/>
      <c r="J818" s="637"/>
    </row>
    <row r="819" spans="1:10" x14ac:dyDescent="0.2">
      <c r="A819" s="626"/>
      <c r="B819" s="637"/>
      <c r="C819" s="637"/>
      <c r="D819" s="637"/>
      <c r="E819" s="637"/>
      <c r="F819" s="637"/>
      <c r="G819" s="637"/>
      <c r="H819" s="637"/>
      <c r="I819" s="637"/>
      <c r="J819" s="637"/>
    </row>
    <row r="820" spans="1:10" x14ac:dyDescent="0.2">
      <c r="A820" s="626"/>
      <c r="B820" s="637"/>
      <c r="C820" s="637"/>
      <c r="D820" s="637"/>
      <c r="E820" s="637"/>
      <c r="F820" s="637"/>
      <c r="G820" s="637"/>
      <c r="H820" s="637"/>
      <c r="I820" s="637"/>
      <c r="J820" s="637"/>
    </row>
    <row r="821" spans="1:10" x14ac:dyDescent="0.2">
      <c r="A821" s="626"/>
      <c r="B821" s="637"/>
      <c r="C821" s="637"/>
      <c r="D821" s="637"/>
      <c r="E821" s="637"/>
      <c r="F821" s="637"/>
      <c r="G821" s="637"/>
      <c r="H821" s="637"/>
      <c r="I821" s="637"/>
      <c r="J821" s="637"/>
    </row>
    <row r="822" spans="1:10" x14ac:dyDescent="0.2">
      <c r="A822" s="626"/>
      <c r="B822" s="637"/>
      <c r="C822" s="637"/>
      <c r="D822" s="637"/>
      <c r="E822" s="637"/>
      <c r="F822" s="637"/>
      <c r="G822" s="637"/>
      <c r="H822" s="637"/>
      <c r="I822" s="637"/>
      <c r="J822" s="637"/>
    </row>
    <row r="823" spans="1:10" x14ac:dyDescent="0.2">
      <c r="A823" s="626"/>
      <c r="B823" s="637"/>
      <c r="C823" s="637"/>
      <c r="D823" s="637"/>
      <c r="E823" s="637"/>
      <c r="F823" s="637"/>
      <c r="G823" s="637"/>
      <c r="H823" s="637"/>
      <c r="I823" s="637"/>
      <c r="J823" s="637"/>
    </row>
    <row r="824" spans="1:10" x14ac:dyDescent="0.2">
      <c r="A824" s="626"/>
      <c r="B824" s="637"/>
      <c r="C824" s="637"/>
      <c r="D824" s="637"/>
      <c r="E824" s="637"/>
      <c r="F824" s="637"/>
      <c r="G824" s="637"/>
      <c r="H824" s="637"/>
      <c r="I824" s="637"/>
      <c r="J824" s="637"/>
    </row>
    <row r="825" spans="1:10" x14ac:dyDescent="0.2">
      <c r="A825" s="626"/>
      <c r="B825" s="637"/>
      <c r="C825" s="637"/>
      <c r="D825" s="637"/>
      <c r="E825" s="637"/>
      <c r="F825" s="637"/>
      <c r="G825" s="637"/>
      <c r="H825" s="637"/>
      <c r="I825" s="637"/>
      <c r="J825" s="637"/>
    </row>
    <row r="826" spans="1:10" x14ac:dyDescent="0.2">
      <c r="A826" s="626"/>
      <c r="B826" s="637"/>
      <c r="C826" s="637"/>
      <c r="D826" s="637"/>
      <c r="E826" s="637"/>
      <c r="F826" s="637"/>
      <c r="G826" s="637"/>
      <c r="H826" s="637"/>
      <c r="I826" s="637"/>
      <c r="J826" s="637"/>
    </row>
    <row r="827" spans="1:10" x14ac:dyDescent="0.2">
      <c r="A827" s="626"/>
      <c r="B827" s="637"/>
      <c r="C827" s="637"/>
      <c r="D827" s="637"/>
      <c r="E827" s="637"/>
      <c r="F827" s="637"/>
      <c r="G827" s="637"/>
      <c r="H827" s="637"/>
      <c r="I827" s="637"/>
      <c r="J827" s="637"/>
    </row>
    <row r="828" spans="1:10" x14ac:dyDescent="0.2">
      <c r="A828" s="626"/>
      <c r="B828" s="637"/>
      <c r="C828" s="637"/>
      <c r="D828" s="637"/>
      <c r="E828" s="637"/>
      <c r="F828" s="637"/>
      <c r="G828" s="637"/>
      <c r="H828" s="637"/>
      <c r="I828" s="637"/>
      <c r="J828" s="637"/>
    </row>
    <row r="829" spans="1:10" x14ac:dyDescent="0.2">
      <c r="A829" s="626"/>
      <c r="B829" s="637"/>
      <c r="C829" s="637"/>
      <c r="D829" s="637"/>
      <c r="E829" s="637"/>
      <c r="F829" s="637"/>
      <c r="G829" s="637"/>
      <c r="H829" s="637"/>
      <c r="I829" s="637"/>
      <c r="J829" s="637"/>
    </row>
    <row r="830" spans="1:10" x14ac:dyDescent="0.2">
      <c r="A830" s="626"/>
      <c r="B830" s="637"/>
      <c r="C830" s="637"/>
      <c r="D830" s="637"/>
      <c r="E830" s="637"/>
      <c r="F830" s="637"/>
      <c r="G830" s="637"/>
      <c r="H830" s="637"/>
      <c r="I830" s="637"/>
      <c r="J830" s="637"/>
    </row>
    <row r="831" spans="1:10" x14ac:dyDescent="0.2">
      <c r="A831" s="626"/>
      <c r="B831" s="637"/>
      <c r="C831" s="637"/>
      <c r="D831" s="637"/>
      <c r="E831" s="637"/>
      <c r="F831" s="637"/>
      <c r="G831" s="637"/>
      <c r="H831" s="637"/>
      <c r="I831" s="637"/>
      <c r="J831" s="637"/>
    </row>
    <row r="832" spans="1:10" x14ac:dyDescent="0.2">
      <c r="A832" s="626"/>
      <c r="B832" s="637"/>
      <c r="C832" s="637"/>
      <c r="D832" s="637"/>
      <c r="E832" s="637"/>
      <c r="F832" s="637"/>
      <c r="G832" s="637"/>
      <c r="H832" s="637"/>
      <c r="I832" s="637"/>
      <c r="J832" s="637"/>
    </row>
    <row r="833" spans="1:10" x14ac:dyDescent="0.2">
      <c r="A833" s="626"/>
      <c r="B833" s="637"/>
      <c r="C833" s="637"/>
      <c r="D833" s="637"/>
      <c r="E833" s="637"/>
      <c r="F833" s="637"/>
      <c r="G833" s="637"/>
      <c r="H833" s="637"/>
      <c r="I833" s="637"/>
      <c r="J833" s="637"/>
    </row>
    <row r="834" spans="1:10" x14ac:dyDescent="0.2">
      <c r="A834" s="626"/>
      <c r="B834" s="637"/>
      <c r="C834" s="637"/>
      <c r="D834" s="637"/>
      <c r="E834" s="637"/>
      <c r="F834" s="637"/>
      <c r="G834" s="637"/>
      <c r="H834" s="637"/>
      <c r="I834" s="637"/>
      <c r="J834" s="637"/>
    </row>
    <row r="835" spans="1:10" x14ac:dyDescent="0.2">
      <c r="A835" s="626"/>
      <c r="B835" s="637"/>
      <c r="C835" s="637"/>
      <c r="D835" s="637"/>
      <c r="E835" s="637"/>
      <c r="F835" s="637"/>
      <c r="G835" s="637"/>
      <c r="H835" s="637"/>
      <c r="I835" s="637"/>
      <c r="J835" s="637"/>
    </row>
    <row r="836" spans="1:10" x14ac:dyDescent="0.2">
      <c r="A836" s="626"/>
      <c r="B836" s="637"/>
      <c r="C836" s="637"/>
      <c r="D836" s="637"/>
      <c r="E836" s="637"/>
      <c r="F836" s="637"/>
      <c r="G836" s="637"/>
      <c r="H836" s="637"/>
      <c r="I836" s="637"/>
      <c r="J836" s="637"/>
    </row>
    <row r="837" spans="1:10" x14ac:dyDescent="0.2">
      <c r="A837" s="626"/>
      <c r="B837" s="637"/>
      <c r="C837" s="637"/>
      <c r="D837" s="637"/>
      <c r="E837" s="637"/>
      <c r="F837" s="637"/>
      <c r="G837" s="637"/>
      <c r="H837" s="637"/>
      <c r="I837" s="637"/>
      <c r="J837" s="637"/>
    </row>
    <row r="838" spans="1:10" x14ac:dyDescent="0.2">
      <c r="A838" s="626"/>
      <c r="B838" s="637"/>
      <c r="C838" s="637"/>
      <c r="D838" s="637"/>
      <c r="E838" s="637"/>
      <c r="F838" s="637"/>
      <c r="G838" s="637"/>
      <c r="H838" s="637"/>
      <c r="I838" s="637"/>
      <c r="J838" s="637"/>
    </row>
    <row r="839" spans="1:10" x14ac:dyDescent="0.2">
      <c r="A839" s="626"/>
      <c r="B839" s="637"/>
      <c r="C839" s="637"/>
      <c r="D839" s="637"/>
      <c r="E839" s="637"/>
      <c r="F839" s="637"/>
      <c r="G839" s="637"/>
      <c r="H839" s="637"/>
      <c r="I839" s="637"/>
      <c r="J839" s="637"/>
    </row>
    <row r="840" spans="1:10" x14ac:dyDescent="0.2">
      <c r="A840" s="626"/>
      <c r="B840" s="637"/>
      <c r="C840" s="637"/>
      <c r="D840" s="637"/>
      <c r="E840" s="637"/>
      <c r="F840" s="637"/>
      <c r="G840" s="637"/>
      <c r="H840" s="637"/>
      <c r="I840" s="637"/>
      <c r="J840" s="637"/>
    </row>
    <row r="841" spans="1:10" x14ac:dyDescent="0.2">
      <c r="A841" s="626"/>
      <c r="B841" s="637"/>
      <c r="C841" s="637"/>
      <c r="D841" s="637"/>
      <c r="E841" s="637"/>
      <c r="F841" s="637"/>
      <c r="G841" s="637"/>
      <c r="H841" s="637"/>
      <c r="I841" s="637"/>
      <c r="J841" s="637"/>
    </row>
    <row r="842" spans="1:10" x14ac:dyDescent="0.2">
      <c r="A842" s="626"/>
      <c r="B842" s="637"/>
      <c r="C842" s="637"/>
      <c r="D842" s="637"/>
      <c r="E842" s="637"/>
      <c r="F842" s="637"/>
      <c r="G842" s="637"/>
      <c r="H842" s="637"/>
      <c r="I842" s="637"/>
      <c r="J842" s="637"/>
    </row>
    <row r="843" spans="1:10" x14ac:dyDescent="0.2">
      <c r="A843" s="626"/>
      <c r="B843" s="637"/>
      <c r="C843" s="637"/>
      <c r="D843" s="637"/>
      <c r="E843" s="637"/>
      <c r="F843" s="637"/>
      <c r="G843" s="637"/>
      <c r="H843" s="637"/>
      <c r="I843" s="637"/>
      <c r="J843" s="637"/>
    </row>
    <row r="844" spans="1:10" x14ac:dyDescent="0.2">
      <c r="A844" s="626"/>
      <c r="B844" s="637"/>
      <c r="C844" s="637"/>
      <c r="D844" s="637"/>
      <c r="E844" s="637"/>
      <c r="F844" s="637"/>
      <c r="G844" s="637"/>
      <c r="H844" s="637"/>
      <c r="I844" s="637"/>
      <c r="J844" s="637"/>
    </row>
    <row r="845" spans="1:10" x14ac:dyDescent="0.2">
      <c r="A845" s="626"/>
      <c r="B845" s="637"/>
      <c r="C845" s="637"/>
      <c r="D845" s="637"/>
      <c r="E845" s="637"/>
      <c r="F845" s="637"/>
      <c r="G845" s="637"/>
      <c r="H845" s="637"/>
      <c r="I845" s="637"/>
      <c r="J845" s="637"/>
    </row>
    <row r="846" spans="1:10" x14ac:dyDescent="0.2">
      <c r="A846" s="626"/>
      <c r="B846" s="637"/>
      <c r="C846" s="637"/>
      <c r="D846" s="637"/>
      <c r="E846" s="637"/>
      <c r="F846" s="637"/>
      <c r="G846" s="637"/>
      <c r="H846" s="637"/>
      <c r="I846" s="637"/>
      <c r="J846" s="637"/>
    </row>
    <row r="847" spans="1:10" x14ac:dyDescent="0.2">
      <c r="A847" s="626"/>
      <c r="B847" s="637"/>
      <c r="C847" s="637"/>
      <c r="D847" s="637"/>
      <c r="E847" s="637"/>
      <c r="F847" s="637"/>
      <c r="G847" s="637"/>
      <c r="H847" s="637"/>
      <c r="I847" s="637"/>
      <c r="J847" s="637"/>
    </row>
    <row r="848" spans="1:10" x14ac:dyDescent="0.2">
      <c r="A848" s="626"/>
      <c r="B848" s="637"/>
      <c r="C848" s="637"/>
      <c r="D848" s="637"/>
      <c r="E848" s="637"/>
      <c r="F848" s="637"/>
      <c r="G848" s="637"/>
      <c r="H848" s="637"/>
      <c r="I848" s="637"/>
      <c r="J848" s="637"/>
    </row>
    <row r="849" spans="1:10" x14ac:dyDescent="0.2">
      <c r="A849" s="626"/>
      <c r="B849" s="637"/>
      <c r="C849" s="637"/>
      <c r="D849" s="637"/>
      <c r="E849" s="637"/>
      <c r="F849" s="637"/>
      <c r="G849" s="637"/>
      <c r="H849" s="637"/>
      <c r="I849" s="637"/>
      <c r="J849" s="637"/>
    </row>
    <row r="850" spans="1:10" x14ac:dyDescent="0.2">
      <c r="A850" s="626"/>
      <c r="B850" s="637"/>
      <c r="C850" s="637"/>
      <c r="D850" s="637"/>
      <c r="E850" s="637"/>
      <c r="F850" s="637"/>
      <c r="G850" s="637"/>
      <c r="H850" s="637"/>
      <c r="I850" s="637"/>
      <c r="J850" s="637"/>
    </row>
    <row r="851" spans="1:10" x14ac:dyDescent="0.2">
      <c r="A851" s="626"/>
      <c r="B851" s="637"/>
      <c r="C851" s="637"/>
      <c r="D851" s="637"/>
      <c r="E851" s="637"/>
      <c r="F851" s="637"/>
      <c r="G851" s="637"/>
      <c r="H851" s="637"/>
      <c r="I851" s="637"/>
      <c r="J851" s="637"/>
    </row>
    <row r="852" spans="1:10" x14ac:dyDescent="0.2">
      <c r="A852" s="626"/>
      <c r="B852" s="637"/>
      <c r="C852" s="637"/>
      <c r="D852" s="637"/>
      <c r="E852" s="637"/>
      <c r="F852" s="637"/>
      <c r="G852" s="637"/>
      <c r="H852" s="637"/>
      <c r="I852" s="637"/>
      <c r="J852" s="637"/>
    </row>
    <row r="853" spans="1:10" x14ac:dyDescent="0.2">
      <c r="A853" s="626"/>
      <c r="B853" s="637"/>
      <c r="C853" s="637"/>
      <c r="D853" s="637"/>
      <c r="E853" s="637"/>
      <c r="F853" s="637"/>
      <c r="G853" s="637"/>
      <c r="H853" s="637"/>
      <c r="I853" s="637"/>
      <c r="J853" s="637"/>
    </row>
    <row r="854" spans="1:10" x14ac:dyDescent="0.2">
      <c r="A854" s="626"/>
      <c r="B854" s="637"/>
      <c r="C854" s="637"/>
      <c r="D854" s="637"/>
      <c r="E854" s="637"/>
      <c r="F854" s="637"/>
      <c r="G854" s="637"/>
      <c r="H854" s="637"/>
      <c r="I854" s="637"/>
      <c r="J854" s="637"/>
    </row>
    <row r="855" spans="1:10" x14ac:dyDescent="0.2">
      <c r="A855" s="626"/>
      <c r="B855" s="637"/>
      <c r="C855" s="637"/>
      <c r="D855" s="637"/>
      <c r="E855" s="637"/>
      <c r="F855" s="637"/>
      <c r="G855" s="637"/>
      <c r="H855" s="637"/>
      <c r="I855" s="637"/>
      <c r="J855" s="637"/>
    </row>
    <row r="856" spans="1:10" x14ac:dyDescent="0.2">
      <c r="A856" s="626"/>
      <c r="B856" s="637"/>
      <c r="C856" s="637"/>
      <c r="D856" s="637"/>
      <c r="E856" s="637"/>
      <c r="F856" s="637"/>
      <c r="G856" s="637"/>
      <c r="H856" s="637"/>
      <c r="I856" s="637"/>
      <c r="J856" s="637"/>
    </row>
    <row r="857" spans="1:10" x14ac:dyDescent="0.2">
      <c r="A857" s="626"/>
      <c r="B857" s="637"/>
      <c r="C857" s="637"/>
      <c r="D857" s="637"/>
      <c r="E857" s="637"/>
      <c r="F857" s="637"/>
      <c r="G857" s="637"/>
      <c r="H857" s="637"/>
      <c r="I857" s="637"/>
      <c r="J857" s="637"/>
    </row>
    <row r="858" spans="1:10" x14ac:dyDescent="0.2">
      <c r="A858" s="626"/>
      <c r="B858" s="637"/>
      <c r="C858" s="637"/>
      <c r="D858" s="637"/>
      <c r="E858" s="637"/>
      <c r="F858" s="637"/>
      <c r="G858" s="637"/>
      <c r="H858" s="637"/>
      <c r="I858" s="637"/>
      <c r="J858" s="637"/>
    </row>
    <row r="859" spans="1:10" x14ac:dyDescent="0.2">
      <c r="A859" s="626"/>
      <c r="B859" s="637"/>
      <c r="C859" s="637"/>
      <c r="D859" s="637"/>
      <c r="E859" s="637"/>
      <c r="F859" s="637"/>
      <c r="G859" s="637"/>
      <c r="H859" s="637"/>
      <c r="I859" s="637"/>
      <c r="J859" s="637"/>
    </row>
    <row r="860" spans="1:10" x14ac:dyDescent="0.2">
      <c r="A860" s="626"/>
      <c r="B860" s="637"/>
      <c r="C860" s="637"/>
      <c r="D860" s="637"/>
      <c r="E860" s="637"/>
      <c r="F860" s="637"/>
      <c r="G860" s="637"/>
      <c r="H860" s="637"/>
      <c r="I860" s="637"/>
      <c r="J860" s="637"/>
    </row>
    <row r="861" spans="1:10" x14ac:dyDescent="0.2">
      <c r="A861" s="626"/>
      <c r="B861" s="637"/>
      <c r="C861" s="637"/>
      <c r="D861" s="637"/>
      <c r="E861" s="637"/>
      <c r="F861" s="637"/>
      <c r="G861" s="637"/>
      <c r="H861" s="637"/>
      <c r="I861" s="637"/>
      <c r="J861" s="637"/>
    </row>
    <row r="862" spans="1:10" x14ac:dyDescent="0.2">
      <c r="A862" s="626"/>
      <c r="B862" s="637"/>
      <c r="C862" s="637"/>
      <c r="D862" s="637"/>
      <c r="E862" s="637"/>
      <c r="F862" s="637"/>
      <c r="G862" s="637"/>
      <c r="H862" s="637"/>
      <c r="I862" s="637"/>
      <c r="J862" s="637"/>
    </row>
    <row r="863" spans="1:10" x14ac:dyDescent="0.2">
      <c r="A863" s="626"/>
      <c r="B863" s="637"/>
      <c r="C863" s="637"/>
      <c r="D863" s="637"/>
      <c r="E863" s="637"/>
      <c r="F863" s="637"/>
      <c r="G863" s="637"/>
      <c r="H863" s="637"/>
      <c r="I863" s="637"/>
      <c r="J863" s="637"/>
    </row>
    <row r="864" spans="1:10" x14ac:dyDescent="0.2">
      <c r="A864" s="626"/>
      <c r="B864" s="637"/>
      <c r="C864" s="637"/>
      <c r="D864" s="637"/>
      <c r="E864" s="637"/>
      <c r="F864" s="637"/>
      <c r="G864" s="637"/>
      <c r="H864" s="637"/>
      <c r="I864" s="637"/>
      <c r="J864" s="637"/>
    </row>
    <row r="865" spans="1:10" x14ac:dyDescent="0.2">
      <c r="A865" s="626"/>
      <c r="B865" s="637"/>
      <c r="C865" s="637"/>
      <c r="D865" s="637"/>
      <c r="E865" s="637"/>
      <c r="F865" s="637"/>
      <c r="G865" s="637"/>
      <c r="H865" s="637"/>
      <c r="I865" s="637"/>
      <c r="J865" s="637"/>
    </row>
    <row r="866" spans="1:10" x14ac:dyDescent="0.2">
      <c r="A866" s="626"/>
      <c r="B866" s="637"/>
      <c r="C866" s="637"/>
      <c r="D866" s="637"/>
      <c r="E866" s="637"/>
      <c r="F866" s="637"/>
      <c r="G866" s="637"/>
      <c r="H866" s="637"/>
      <c r="I866" s="637"/>
      <c r="J866" s="637"/>
    </row>
    <row r="867" spans="1:10" x14ac:dyDescent="0.2">
      <c r="A867" s="626"/>
      <c r="B867" s="637"/>
      <c r="C867" s="637"/>
      <c r="D867" s="637"/>
      <c r="E867" s="637"/>
      <c r="F867" s="637"/>
      <c r="G867" s="637"/>
      <c r="H867" s="637"/>
      <c r="I867" s="637"/>
      <c r="J867" s="637"/>
    </row>
    <row r="868" spans="1:10" x14ac:dyDescent="0.2">
      <c r="A868" s="626"/>
      <c r="B868" s="637"/>
      <c r="C868" s="637"/>
      <c r="D868" s="637"/>
      <c r="E868" s="637"/>
      <c r="F868" s="637"/>
      <c r="G868" s="637"/>
      <c r="H868" s="637"/>
      <c r="I868" s="637"/>
      <c r="J868" s="637"/>
    </row>
    <row r="869" spans="1:10" x14ac:dyDescent="0.2">
      <c r="A869" s="626"/>
      <c r="B869" s="637"/>
      <c r="C869" s="637"/>
      <c r="D869" s="637"/>
      <c r="E869" s="637"/>
      <c r="F869" s="637"/>
      <c r="G869" s="637"/>
      <c r="H869" s="637"/>
      <c r="I869" s="637"/>
      <c r="J869" s="637"/>
    </row>
    <row r="870" spans="1:10" x14ac:dyDescent="0.2">
      <c r="A870" s="626"/>
      <c r="B870" s="637"/>
      <c r="C870" s="637"/>
      <c r="D870" s="637"/>
      <c r="E870" s="637"/>
      <c r="F870" s="637"/>
      <c r="G870" s="637"/>
      <c r="H870" s="637"/>
      <c r="I870" s="637"/>
      <c r="J870" s="637"/>
    </row>
    <row r="871" spans="1:10" x14ac:dyDescent="0.2">
      <c r="A871" s="626"/>
      <c r="B871" s="637"/>
      <c r="C871" s="637"/>
      <c r="D871" s="637"/>
      <c r="E871" s="637"/>
      <c r="F871" s="637"/>
      <c r="G871" s="637"/>
      <c r="H871" s="637"/>
      <c r="I871" s="637"/>
      <c r="J871" s="637"/>
    </row>
    <row r="872" spans="1:10" x14ac:dyDescent="0.2">
      <c r="A872" s="626"/>
      <c r="B872" s="637"/>
      <c r="C872" s="637"/>
      <c r="D872" s="637"/>
      <c r="E872" s="637"/>
      <c r="F872" s="637"/>
      <c r="G872" s="637"/>
      <c r="H872" s="637"/>
      <c r="I872" s="637"/>
      <c r="J872" s="637"/>
    </row>
    <row r="873" spans="1:10" x14ac:dyDescent="0.2">
      <c r="A873" s="626"/>
      <c r="B873" s="637"/>
      <c r="C873" s="637"/>
      <c r="D873" s="637"/>
      <c r="E873" s="637"/>
      <c r="F873" s="637"/>
      <c r="G873" s="637"/>
      <c r="H873" s="637"/>
      <c r="I873" s="637"/>
      <c r="J873" s="637"/>
    </row>
    <row r="874" spans="1:10" x14ac:dyDescent="0.2">
      <c r="A874" s="626"/>
      <c r="B874" s="637"/>
      <c r="C874" s="637"/>
      <c r="D874" s="637"/>
      <c r="E874" s="637"/>
      <c r="F874" s="637"/>
      <c r="G874" s="637"/>
      <c r="H874" s="637"/>
      <c r="I874" s="637"/>
      <c r="J874" s="637"/>
    </row>
    <row r="875" spans="1:10" x14ac:dyDescent="0.2">
      <c r="A875" s="626"/>
      <c r="B875" s="637"/>
      <c r="C875" s="637"/>
      <c r="D875" s="637"/>
      <c r="E875" s="637"/>
      <c r="F875" s="637"/>
      <c r="G875" s="637"/>
      <c r="H875" s="637"/>
      <c r="I875" s="637"/>
      <c r="J875" s="637"/>
    </row>
    <row r="876" spans="1:10" x14ac:dyDescent="0.2">
      <c r="A876" s="626"/>
      <c r="B876" s="637"/>
      <c r="C876" s="637"/>
      <c r="D876" s="637"/>
      <c r="E876" s="637"/>
      <c r="F876" s="637"/>
      <c r="G876" s="637"/>
      <c r="H876" s="637"/>
      <c r="I876" s="637"/>
      <c r="J876" s="637"/>
    </row>
    <row r="877" spans="1:10" x14ac:dyDescent="0.2">
      <c r="A877" s="626"/>
      <c r="B877" s="637"/>
      <c r="C877" s="637"/>
      <c r="D877" s="637"/>
      <c r="E877" s="637"/>
      <c r="F877" s="637"/>
      <c r="G877" s="637"/>
      <c r="H877" s="637"/>
      <c r="I877" s="637"/>
      <c r="J877" s="637"/>
    </row>
    <row r="878" spans="1:10" x14ac:dyDescent="0.2">
      <c r="A878" s="626"/>
      <c r="B878" s="637"/>
      <c r="C878" s="637"/>
      <c r="D878" s="637"/>
      <c r="E878" s="637"/>
      <c r="F878" s="637"/>
      <c r="G878" s="637"/>
      <c r="H878" s="637"/>
      <c r="I878" s="637"/>
      <c r="J878" s="637"/>
    </row>
    <row r="879" spans="1:10" x14ac:dyDescent="0.2">
      <c r="A879" s="626"/>
      <c r="B879" s="637"/>
      <c r="C879" s="637"/>
      <c r="D879" s="637"/>
      <c r="E879" s="637"/>
      <c r="F879" s="637"/>
      <c r="G879" s="637"/>
      <c r="H879" s="637"/>
      <c r="I879" s="637"/>
      <c r="J879" s="637"/>
    </row>
    <row r="880" spans="1:10" x14ac:dyDescent="0.2">
      <c r="A880" s="626"/>
      <c r="B880" s="637"/>
      <c r="C880" s="637"/>
      <c r="D880" s="637"/>
      <c r="E880" s="637"/>
      <c r="F880" s="637"/>
      <c r="G880" s="637"/>
      <c r="H880" s="637"/>
      <c r="I880" s="637"/>
      <c r="J880" s="637"/>
    </row>
    <row r="881" spans="1:10" x14ac:dyDescent="0.2">
      <c r="A881" s="626"/>
      <c r="B881" s="637"/>
      <c r="C881" s="637"/>
      <c r="D881" s="637"/>
      <c r="E881" s="637"/>
      <c r="F881" s="637"/>
      <c r="G881" s="637"/>
      <c r="H881" s="637"/>
      <c r="I881" s="637"/>
      <c r="J881" s="637"/>
    </row>
    <row r="882" spans="1:10" x14ac:dyDescent="0.2">
      <c r="A882" s="626"/>
      <c r="B882" s="637"/>
      <c r="C882" s="637"/>
      <c r="D882" s="637"/>
      <c r="E882" s="637"/>
      <c r="F882" s="637"/>
      <c r="G882" s="637"/>
      <c r="H882" s="637"/>
      <c r="I882" s="637"/>
      <c r="J882" s="637"/>
    </row>
    <row r="883" spans="1:10" x14ac:dyDescent="0.2">
      <c r="A883" s="626"/>
      <c r="B883" s="637"/>
      <c r="C883" s="637"/>
      <c r="D883" s="637"/>
      <c r="E883" s="637"/>
      <c r="F883" s="637"/>
      <c r="G883" s="637"/>
      <c r="H883" s="637"/>
      <c r="I883" s="637"/>
      <c r="J883" s="637"/>
    </row>
    <row r="884" spans="1:10" x14ac:dyDescent="0.2">
      <c r="A884" s="626"/>
      <c r="B884" s="637"/>
      <c r="C884" s="637"/>
      <c r="D884" s="637"/>
      <c r="E884" s="637"/>
      <c r="F884" s="637"/>
      <c r="G884" s="637"/>
      <c r="H884" s="637"/>
      <c r="I884" s="637"/>
      <c r="J884" s="637"/>
    </row>
    <row r="885" spans="1:10" x14ac:dyDescent="0.2">
      <c r="A885" s="626"/>
      <c r="B885" s="637"/>
      <c r="C885" s="637"/>
      <c r="D885" s="637"/>
      <c r="E885" s="637"/>
      <c r="F885" s="637"/>
      <c r="G885" s="637"/>
      <c r="H885" s="637"/>
      <c r="I885" s="637"/>
      <c r="J885" s="637"/>
    </row>
    <row r="886" spans="1:10" x14ac:dyDescent="0.2">
      <c r="A886" s="626"/>
      <c r="B886" s="637"/>
      <c r="C886" s="637"/>
      <c r="D886" s="637"/>
      <c r="E886" s="637"/>
      <c r="F886" s="637"/>
      <c r="G886" s="637"/>
      <c r="H886" s="637"/>
      <c r="I886" s="637"/>
      <c r="J886" s="637"/>
    </row>
    <row r="887" spans="1:10" x14ac:dyDescent="0.2">
      <c r="A887" s="626"/>
      <c r="B887" s="637"/>
      <c r="C887" s="637"/>
      <c r="D887" s="637"/>
      <c r="E887" s="637"/>
      <c r="F887" s="637"/>
      <c r="G887" s="637"/>
      <c r="H887" s="637"/>
      <c r="I887" s="637"/>
      <c r="J887" s="637"/>
    </row>
    <row r="888" spans="1:10" x14ac:dyDescent="0.2">
      <c r="A888" s="626"/>
      <c r="B888" s="637"/>
      <c r="C888" s="637"/>
      <c r="D888" s="637"/>
      <c r="E888" s="637"/>
      <c r="F888" s="637"/>
      <c r="G888" s="637"/>
      <c r="H888" s="637"/>
      <c r="I888" s="637"/>
      <c r="J888" s="637"/>
    </row>
    <row r="889" spans="1:10" x14ac:dyDescent="0.2">
      <c r="A889" s="626"/>
      <c r="B889" s="637"/>
      <c r="C889" s="637"/>
      <c r="D889" s="637"/>
      <c r="E889" s="637"/>
      <c r="F889" s="637"/>
      <c r="G889" s="637"/>
      <c r="H889" s="637"/>
      <c r="I889" s="637"/>
      <c r="J889" s="637"/>
    </row>
    <row r="890" spans="1:10" x14ac:dyDescent="0.2">
      <c r="A890" s="626"/>
      <c r="B890" s="637"/>
      <c r="C890" s="637"/>
      <c r="D890" s="637"/>
      <c r="E890" s="637"/>
      <c r="F890" s="637"/>
      <c r="G890" s="637"/>
      <c r="H890" s="637"/>
      <c r="I890" s="637"/>
      <c r="J890" s="637"/>
    </row>
    <row r="891" spans="1:10" x14ac:dyDescent="0.2">
      <c r="A891" s="626"/>
      <c r="B891" s="637"/>
      <c r="C891" s="637"/>
      <c r="D891" s="637"/>
      <c r="E891" s="637"/>
      <c r="F891" s="637"/>
      <c r="G891" s="637"/>
      <c r="H891" s="637"/>
      <c r="I891" s="637"/>
      <c r="J891" s="637"/>
    </row>
    <row r="892" spans="1:10" x14ac:dyDescent="0.2">
      <c r="A892" s="626"/>
      <c r="B892" s="637"/>
      <c r="C892" s="637"/>
      <c r="D892" s="637"/>
      <c r="E892" s="637"/>
      <c r="F892" s="637"/>
      <c r="G892" s="637"/>
      <c r="H892" s="637"/>
      <c r="I892" s="637"/>
      <c r="J892" s="637"/>
    </row>
    <row r="893" spans="1:10" x14ac:dyDescent="0.2">
      <c r="A893" s="626"/>
      <c r="B893" s="637"/>
      <c r="C893" s="637"/>
      <c r="D893" s="637"/>
      <c r="E893" s="637"/>
      <c r="F893" s="637"/>
      <c r="G893" s="637"/>
      <c r="H893" s="637"/>
      <c r="I893" s="637"/>
      <c r="J893" s="637"/>
    </row>
    <row r="894" spans="1:10" x14ac:dyDescent="0.2">
      <c r="A894" s="626"/>
      <c r="B894" s="637"/>
      <c r="C894" s="637"/>
      <c r="D894" s="637"/>
      <c r="E894" s="637"/>
      <c r="F894" s="637"/>
      <c r="G894" s="637"/>
      <c r="H894" s="637"/>
      <c r="I894" s="637"/>
      <c r="J894" s="637"/>
    </row>
    <row r="895" spans="1:10" x14ac:dyDescent="0.2">
      <c r="A895" s="626"/>
      <c r="B895" s="637"/>
      <c r="C895" s="637"/>
      <c r="D895" s="637"/>
      <c r="E895" s="637"/>
      <c r="F895" s="637"/>
      <c r="G895" s="637"/>
      <c r="H895" s="637"/>
      <c r="I895" s="637"/>
      <c r="J895" s="637"/>
    </row>
    <row r="896" spans="1:10" x14ac:dyDescent="0.2">
      <c r="A896" s="626"/>
      <c r="B896" s="637"/>
      <c r="C896" s="637"/>
      <c r="D896" s="637"/>
      <c r="E896" s="637"/>
      <c r="F896" s="637"/>
      <c r="G896" s="637"/>
      <c r="H896" s="637"/>
      <c r="I896" s="637"/>
      <c r="J896" s="637"/>
    </row>
    <row r="897" spans="1:10" x14ac:dyDescent="0.2">
      <c r="A897" s="626"/>
      <c r="B897" s="637"/>
      <c r="C897" s="637"/>
      <c r="D897" s="637"/>
      <c r="E897" s="637"/>
      <c r="F897" s="637"/>
      <c r="G897" s="637"/>
      <c r="H897" s="637"/>
      <c r="I897" s="637"/>
      <c r="J897" s="637"/>
    </row>
    <row r="898" spans="1:10" x14ac:dyDescent="0.2">
      <c r="A898" s="626"/>
      <c r="B898" s="637"/>
      <c r="C898" s="637"/>
      <c r="D898" s="637"/>
      <c r="E898" s="637"/>
      <c r="F898" s="637"/>
      <c r="G898" s="637"/>
      <c r="H898" s="637"/>
      <c r="I898" s="637"/>
      <c r="J898" s="637"/>
    </row>
    <row r="899" spans="1:10" x14ac:dyDescent="0.2">
      <c r="A899" s="626"/>
      <c r="B899" s="637"/>
      <c r="C899" s="637"/>
      <c r="D899" s="637"/>
      <c r="E899" s="637"/>
      <c r="F899" s="637"/>
      <c r="G899" s="637"/>
      <c r="H899" s="637"/>
      <c r="I899" s="637"/>
      <c r="J899" s="637"/>
    </row>
    <row r="900" spans="1:10" x14ac:dyDescent="0.2">
      <c r="A900" s="626"/>
      <c r="B900" s="637"/>
      <c r="C900" s="637"/>
      <c r="D900" s="637"/>
      <c r="E900" s="637"/>
      <c r="F900" s="637"/>
      <c r="G900" s="637"/>
      <c r="H900" s="637"/>
      <c r="I900" s="637"/>
      <c r="J900" s="637"/>
    </row>
    <row r="901" spans="1:10" x14ac:dyDescent="0.2">
      <c r="A901" s="626"/>
      <c r="B901" s="637"/>
      <c r="C901" s="637"/>
      <c r="D901" s="637"/>
      <c r="E901" s="637"/>
      <c r="F901" s="637"/>
      <c r="G901" s="637"/>
      <c r="H901" s="637"/>
      <c r="I901" s="637"/>
      <c r="J901" s="637"/>
    </row>
    <row r="902" spans="1:10" x14ac:dyDescent="0.2">
      <c r="A902" s="626"/>
      <c r="B902" s="637"/>
      <c r="C902" s="637"/>
      <c r="D902" s="637"/>
      <c r="E902" s="637"/>
      <c r="F902" s="637"/>
      <c r="G902" s="637"/>
      <c r="H902" s="637"/>
      <c r="I902" s="637"/>
      <c r="J902" s="637"/>
    </row>
    <row r="903" spans="1:10" x14ac:dyDescent="0.2">
      <c r="A903" s="626"/>
      <c r="B903" s="637"/>
      <c r="C903" s="637"/>
      <c r="D903" s="637"/>
      <c r="E903" s="637"/>
      <c r="F903" s="637"/>
      <c r="G903" s="637"/>
      <c r="H903" s="637"/>
      <c r="I903" s="637"/>
      <c r="J903" s="637"/>
    </row>
    <row r="904" spans="1:10" x14ac:dyDescent="0.2">
      <c r="A904" s="626"/>
      <c r="B904" s="637"/>
      <c r="C904" s="637"/>
      <c r="D904" s="637"/>
      <c r="E904" s="637"/>
      <c r="F904" s="637"/>
      <c r="G904" s="637"/>
      <c r="H904" s="637"/>
      <c r="I904" s="637"/>
      <c r="J904" s="637"/>
    </row>
    <row r="905" spans="1:10" x14ac:dyDescent="0.2">
      <c r="A905" s="626"/>
      <c r="B905" s="637"/>
      <c r="C905" s="637"/>
      <c r="D905" s="637"/>
      <c r="E905" s="637"/>
      <c r="F905" s="637"/>
      <c r="G905" s="637"/>
      <c r="H905" s="637"/>
      <c r="I905" s="637"/>
      <c r="J905" s="637"/>
    </row>
    <row r="906" spans="1:10" x14ac:dyDescent="0.2">
      <c r="A906" s="626"/>
      <c r="B906" s="637"/>
      <c r="C906" s="637"/>
      <c r="D906" s="637"/>
      <c r="E906" s="637"/>
      <c r="F906" s="637"/>
      <c r="G906" s="637"/>
      <c r="H906" s="637"/>
      <c r="I906" s="637"/>
      <c r="J906" s="637"/>
    </row>
    <row r="907" spans="1:10" x14ac:dyDescent="0.2">
      <c r="A907" s="626"/>
      <c r="B907" s="637"/>
      <c r="C907" s="637"/>
      <c r="D907" s="637"/>
      <c r="E907" s="637"/>
      <c r="F907" s="637"/>
      <c r="G907" s="637"/>
      <c r="H907" s="637"/>
      <c r="I907" s="637"/>
      <c r="J907" s="637"/>
    </row>
    <row r="908" spans="1:10" x14ac:dyDescent="0.2">
      <c r="A908" s="626"/>
      <c r="B908" s="637"/>
      <c r="C908" s="637"/>
      <c r="D908" s="637"/>
      <c r="E908" s="637"/>
      <c r="F908" s="637"/>
      <c r="G908" s="637"/>
      <c r="H908" s="637"/>
      <c r="I908" s="637"/>
      <c r="J908" s="637"/>
    </row>
    <row r="909" spans="1:10" x14ac:dyDescent="0.2">
      <c r="A909" s="626"/>
      <c r="B909" s="637"/>
      <c r="C909" s="637"/>
      <c r="D909" s="637"/>
      <c r="E909" s="637"/>
      <c r="F909" s="637"/>
      <c r="G909" s="637"/>
      <c r="H909" s="637"/>
      <c r="I909" s="637"/>
      <c r="J909" s="637"/>
    </row>
    <row r="910" spans="1:10" x14ac:dyDescent="0.2">
      <c r="A910" s="626"/>
      <c r="B910" s="637"/>
      <c r="C910" s="637"/>
      <c r="D910" s="637"/>
      <c r="E910" s="637"/>
      <c r="F910" s="637"/>
      <c r="G910" s="637"/>
      <c r="H910" s="637"/>
      <c r="I910" s="637"/>
      <c r="J910" s="637"/>
    </row>
    <row r="911" spans="1:10" x14ac:dyDescent="0.2">
      <c r="A911" s="626"/>
      <c r="B911" s="637"/>
      <c r="C911" s="637"/>
      <c r="D911" s="637"/>
      <c r="E911" s="637"/>
      <c r="F911" s="637"/>
      <c r="G911" s="637"/>
      <c r="H911" s="637"/>
      <c r="I911" s="637"/>
      <c r="J911" s="637"/>
    </row>
    <row r="912" spans="1:10" x14ac:dyDescent="0.2">
      <c r="A912" s="626"/>
      <c r="B912" s="637"/>
      <c r="C912" s="637"/>
      <c r="D912" s="637"/>
      <c r="E912" s="637"/>
      <c r="F912" s="637"/>
      <c r="G912" s="637"/>
      <c r="H912" s="637"/>
      <c r="I912" s="637"/>
      <c r="J912" s="637"/>
    </row>
    <row r="913" spans="1:10" x14ac:dyDescent="0.2">
      <c r="A913" s="626"/>
      <c r="B913" s="637"/>
      <c r="C913" s="637"/>
      <c r="D913" s="637"/>
      <c r="E913" s="637"/>
      <c r="F913" s="637"/>
      <c r="G913" s="637"/>
      <c r="H913" s="637"/>
      <c r="I913" s="637"/>
      <c r="J913" s="637"/>
    </row>
    <row r="914" spans="1:10" x14ac:dyDescent="0.2">
      <c r="A914" s="626"/>
      <c r="B914" s="637"/>
      <c r="C914" s="637"/>
      <c r="D914" s="637"/>
      <c r="E914" s="637"/>
      <c r="F914" s="637"/>
      <c r="G914" s="637"/>
      <c r="H914" s="637"/>
      <c r="I914" s="637"/>
      <c r="J914" s="637"/>
    </row>
    <row r="915" spans="1:10" x14ac:dyDescent="0.2">
      <c r="A915" s="626"/>
      <c r="B915" s="637"/>
      <c r="C915" s="637"/>
      <c r="D915" s="637"/>
      <c r="E915" s="637"/>
      <c r="F915" s="637"/>
      <c r="G915" s="637"/>
      <c r="H915" s="637"/>
      <c r="I915" s="637"/>
      <c r="J915" s="637"/>
    </row>
    <row r="916" spans="1:10" x14ac:dyDescent="0.2">
      <c r="A916" s="626"/>
      <c r="B916" s="637"/>
      <c r="C916" s="637"/>
      <c r="D916" s="637"/>
      <c r="E916" s="637"/>
      <c r="F916" s="637"/>
      <c r="G916" s="637"/>
      <c r="H916" s="637"/>
      <c r="I916" s="637"/>
      <c r="J916" s="637"/>
    </row>
    <row r="917" spans="1:10" x14ac:dyDescent="0.2">
      <c r="A917" s="626"/>
      <c r="B917" s="637"/>
      <c r="C917" s="637"/>
      <c r="D917" s="637"/>
      <c r="E917" s="637"/>
      <c r="F917" s="637"/>
      <c r="G917" s="637"/>
      <c r="H917" s="637"/>
      <c r="I917" s="637"/>
      <c r="J917" s="637"/>
    </row>
    <row r="918" spans="1:10" x14ac:dyDescent="0.2">
      <c r="A918" s="626"/>
      <c r="B918" s="637"/>
      <c r="C918" s="637"/>
      <c r="D918" s="637"/>
      <c r="E918" s="637"/>
      <c r="F918" s="637"/>
      <c r="G918" s="637"/>
      <c r="H918" s="637"/>
      <c r="I918" s="637"/>
      <c r="J918" s="637"/>
    </row>
    <row r="919" spans="1:10" x14ac:dyDescent="0.2">
      <c r="A919" s="626"/>
      <c r="B919" s="637"/>
      <c r="C919" s="637"/>
      <c r="D919" s="637"/>
      <c r="E919" s="637"/>
      <c r="F919" s="637"/>
      <c r="G919" s="637"/>
      <c r="H919" s="637"/>
      <c r="I919" s="637"/>
      <c r="J919" s="637"/>
    </row>
    <row r="920" spans="1:10" x14ac:dyDescent="0.2">
      <c r="A920" s="626"/>
      <c r="B920" s="637"/>
      <c r="C920" s="637"/>
      <c r="D920" s="637"/>
      <c r="E920" s="637"/>
      <c r="F920" s="637"/>
      <c r="G920" s="637"/>
      <c r="H920" s="637"/>
      <c r="I920" s="637"/>
      <c r="J920" s="637"/>
    </row>
    <row r="921" spans="1:10" x14ac:dyDescent="0.2">
      <c r="A921" s="626"/>
      <c r="B921" s="637"/>
      <c r="C921" s="637"/>
      <c r="D921" s="637"/>
      <c r="E921" s="637"/>
      <c r="F921" s="637"/>
      <c r="G921" s="637"/>
      <c r="H921" s="637"/>
      <c r="I921" s="637"/>
      <c r="J921" s="637"/>
    </row>
    <row r="922" spans="1:10" x14ac:dyDescent="0.2">
      <c r="A922" s="626"/>
      <c r="B922" s="637"/>
      <c r="C922" s="637"/>
      <c r="D922" s="637"/>
      <c r="E922" s="637"/>
      <c r="F922" s="637"/>
      <c r="G922" s="637"/>
      <c r="H922" s="637"/>
      <c r="I922" s="637"/>
      <c r="J922" s="637"/>
    </row>
    <row r="923" spans="1:10" x14ac:dyDescent="0.2">
      <c r="A923" s="626"/>
      <c r="B923" s="637"/>
      <c r="C923" s="637"/>
      <c r="D923" s="637"/>
      <c r="E923" s="637"/>
      <c r="F923" s="637"/>
      <c r="G923" s="637"/>
      <c r="H923" s="637"/>
      <c r="I923" s="637"/>
      <c r="J923" s="637"/>
    </row>
    <row r="924" spans="1:10" x14ac:dyDescent="0.2">
      <c r="A924" s="626"/>
      <c r="B924" s="637"/>
      <c r="C924" s="637"/>
      <c r="D924" s="637"/>
      <c r="E924" s="637"/>
      <c r="F924" s="637"/>
      <c r="G924" s="637"/>
      <c r="H924" s="637"/>
      <c r="I924" s="637"/>
      <c r="J924" s="637"/>
    </row>
    <row r="925" spans="1:10" x14ac:dyDescent="0.2">
      <c r="A925" s="626"/>
      <c r="B925" s="637"/>
      <c r="C925" s="637"/>
      <c r="D925" s="637"/>
      <c r="E925" s="637"/>
      <c r="F925" s="637"/>
      <c r="G925" s="637"/>
      <c r="H925" s="637"/>
      <c r="I925" s="637"/>
      <c r="J925" s="637"/>
    </row>
    <row r="926" spans="1:10" x14ac:dyDescent="0.2">
      <c r="A926" s="626"/>
      <c r="B926" s="637"/>
      <c r="C926" s="637"/>
      <c r="D926" s="637"/>
      <c r="E926" s="637"/>
      <c r="F926" s="637"/>
      <c r="G926" s="637"/>
      <c r="H926" s="637"/>
      <c r="I926" s="637"/>
      <c r="J926" s="637"/>
    </row>
    <row r="927" spans="1:10" x14ac:dyDescent="0.2">
      <c r="A927" s="626"/>
      <c r="B927" s="637"/>
      <c r="C927" s="637"/>
      <c r="D927" s="637"/>
      <c r="E927" s="637"/>
      <c r="F927" s="637"/>
      <c r="G927" s="637"/>
      <c r="H927" s="637"/>
      <c r="I927" s="637"/>
      <c r="J927" s="637"/>
    </row>
    <row r="928" spans="1:10" x14ac:dyDescent="0.2">
      <c r="A928" s="626"/>
      <c r="B928" s="637"/>
      <c r="C928" s="637"/>
      <c r="D928" s="637"/>
      <c r="E928" s="637"/>
      <c r="F928" s="637"/>
      <c r="G928" s="637"/>
      <c r="H928" s="637"/>
      <c r="I928" s="637"/>
      <c r="J928" s="637"/>
    </row>
    <row r="929" spans="1:10" x14ac:dyDescent="0.2">
      <c r="A929" s="626"/>
      <c r="B929" s="637"/>
      <c r="C929" s="637"/>
      <c r="D929" s="637"/>
      <c r="E929" s="637"/>
      <c r="F929" s="637"/>
      <c r="G929" s="637"/>
      <c r="H929" s="637"/>
      <c r="I929" s="637"/>
      <c r="J929" s="637"/>
    </row>
    <row r="930" spans="1:10" x14ac:dyDescent="0.2">
      <c r="A930" s="626"/>
      <c r="B930" s="637"/>
      <c r="C930" s="637"/>
      <c r="D930" s="637"/>
      <c r="E930" s="637"/>
      <c r="F930" s="637"/>
      <c r="G930" s="637"/>
      <c r="H930" s="637"/>
      <c r="I930" s="637"/>
      <c r="J930" s="637"/>
    </row>
    <row r="931" spans="1:10" x14ac:dyDescent="0.2">
      <c r="A931" s="626"/>
      <c r="B931" s="637"/>
      <c r="C931" s="637"/>
      <c r="D931" s="637"/>
      <c r="E931" s="637"/>
      <c r="F931" s="637"/>
      <c r="G931" s="637"/>
      <c r="H931" s="637"/>
      <c r="I931" s="637"/>
      <c r="J931" s="637"/>
    </row>
    <row r="932" spans="1:10" x14ac:dyDescent="0.2">
      <c r="A932" s="626"/>
      <c r="B932" s="637"/>
      <c r="C932" s="637"/>
      <c r="D932" s="637"/>
      <c r="E932" s="637"/>
      <c r="F932" s="637"/>
      <c r="G932" s="637"/>
      <c r="H932" s="637"/>
      <c r="I932" s="637"/>
      <c r="J932" s="637"/>
    </row>
    <row r="933" spans="1:10" x14ac:dyDescent="0.2">
      <c r="A933" s="626"/>
      <c r="B933" s="637"/>
      <c r="C933" s="637"/>
      <c r="D933" s="637"/>
      <c r="E933" s="637"/>
      <c r="F933" s="637"/>
      <c r="G933" s="637"/>
      <c r="H933" s="637"/>
      <c r="I933" s="637"/>
      <c r="J933" s="637"/>
    </row>
    <row r="934" spans="1:10" x14ac:dyDescent="0.2">
      <c r="A934" s="626"/>
      <c r="B934" s="637"/>
      <c r="C934" s="637"/>
      <c r="D934" s="637"/>
      <c r="E934" s="637"/>
      <c r="F934" s="637"/>
      <c r="G934" s="637"/>
      <c r="H934" s="637"/>
      <c r="I934" s="637"/>
      <c r="J934" s="637"/>
    </row>
    <row r="935" spans="1:10" x14ac:dyDescent="0.2">
      <c r="A935" s="626"/>
      <c r="B935" s="637"/>
      <c r="C935" s="637"/>
      <c r="D935" s="637"/>
      <c r="E935" s="637"/>
      <c r="F935" s="637"/>
      <c r="G935" s="637"/>
      <c r="H935" s="637"/>
      <c r="I935" s="637"/>
      <c r="J935" s="637"/>
    </row>
    <row r="936" spans="1:10" x14ac:dyDescent="0.2">
      <c r="A936" s="626"/>
      <c r="B936" s="637"/>
      <c r="C936" s="637"/>
      <c r="D936" s="637"/>
      <c r="E936" s="637"/>
      <c r="F936" s="637"/>
      <c r="G936" s="637"/>
      <c r="H936" s="637"/>
      <c r="I936" s="637"/>
      <c r="J936" s="637"/>
    </row>
    <row r="937" spans="1:10" x14ac:dyDescent="0.2">
      <c r="A937" s="626"/>
      <c r="B937" s="637"/>
      <c r="C937" s="637"/>
      <c r="D937" s="637"/>
      <c r="E937" s="637"/>
      <c r="F937" s="637"/>
      <c r="G937" s="637"/>
      <c r="H937" s="637"/>
      <c r="I937" s="637"/>
      <c r="J937" s="637"/>
    </row>
    <row r="938" spans="1:10" x14ac:dyDescent="0.2">
      <c r="A938" s="626"/>
      <c r="B938" s="637"/>
      <c r="C938" s="637"/>
      <c r="D938" s="637"/>
      <c r="E938" s="637"/>
      <c r="F938" s="637"/>
      <c r="G938" s="637"/>
      <c r="H938" s="637"/>
      <c r="I938" s="637"/>
      <c r="J938" s="637"/>
    </row>
    <row r="939" spans="1:10" x14ac:dyDescent="0.2">
      <c r="A939" s="626"/>
      <c r="B939" s="637"/>
      <c r="C939" s="637"/>
      <c r="D939" s="637"/>
      <c r="E939" s="637"/>
      <c r="F939" s="637"/>
      <c r="G939" s="637"/>
      <c r="H939" s="637"/>
      <c r="I939" s="637"/>
      <c r="J939" s="637"/>
    </row>
    <row r="940" spans="1:10" x14ac:dyDescent="0.2">
      <c r="A940" s="626"/>
      <c r="B940" s="637"/>
      <c r="C940" s="637"/>
      <c r="D940" s="637"/>
      <c r="E940" s="637"/>
      <c r="F940" s="637"/>
      <c r="G940" s="637"/>
      <c r="H940" s="637"/>
      <c r="I940" s="637"/>
      <c r="J940" s="637"/>
    </row>
    <row r="941" spans="1:10" x14ac:dyDescent="0.2">
      <c r="A941" s="626"/>
      <c r="B941" s="637"/>
      <c r="C941" s="637"/>
      <c r="D941" s="637"/>
      <c r="E941" s="637"/>
      <c r="F941" s="637"/>
      <c r="G941" s="637"/>
      <c r="H941" s="637"/>
      <c r="I941" s="637"/>
      <c r="J941" s="637"/>
    </row>
    <row r="942" spans="1:10" x14ac:dyDescent="0.2">
      <c r="A942" s="626"/>
      <c r="B942" s="637"/>
      <c r="C942" s="637"/>
      <c r="D942" s="637"/>
      <c r="E942" s="637"/>
      <c r="F942" s="637"/>
      <c r="G942" s="637"/>
      <c r="H942" s="637"/>
      <c r="I942" s="637"/>
      <c r="J942" s="637"/>
    </row>
    <row r="943" spans="1:10" x14ac:dyDescent="0.2">
      <c r="A943" s="626"/>
      <c r="B943" s="637"/>
      <c r="C943" s="637"/>
      <c r="D943" s="637"/>
      <c r="E943" s="637"/>
      <c r="F943" s="637"/>
      <c r="G943" s="637"/>
      <c r="H943" s="637"/>
      <c r="I943" s="637"/>
      <c r="J943" s="637"/>
    </row>
    <row r="944" spans="1:10" x14ac:dyDescent="0.2">
      <c r="A944" s="626"/>
      <c r="B944" s="637"/>
      <c r="C944" s="637"/>
      <c r="D944" s="637"/>
      <c r="E944" s="637"/>
      <c r="F944" s="637"/>
      <c r="G944" s="637"/>
      <c r="H944" s="637"/>
      <c r="I944" s="637"/>
      <c r="J944" s="637"/>
    </row>
    <row r="945" spans="1:10" x14ac:dyDescent="0.2">
      <c r="A945" s="626"/>
      <c r="B945" s="637"/>
      <c r="C945" s="637"/>
      <c r="D945" s="637"/>
      <c r="E945" s="637"/>
      <c r="F945" s="637"/>
      <c r="G945" s="637"/>
      <c r="H945" s="637"/>
      <c r="I945" s="637"/>
      <c r="J945" s="637"/>
    </row>
    <row r="946" spans="1:10" x14ac:dyDescent="0.2">
      <c r="A946" s="626"/>
      <c r="B946" s="637"/>
      <c r="C946" s="637"/>
      <c r="D946" s="637"/>
      <c r="E946" s="637"/>
      <c r="F946" s="637"/>
      <c r="G946" s="637"/>
      <c r="H946" s="637"/>
      <c r="I946" s="637"/>
      <c r="J946" s="637"/>
    </row>
    <row r="947" spans="1:10" x14ac:dyDescent="0.2">
      <c r="A947" s="626"/>
      <c r="B947" s="637"/>
      <c r="C947" s="637"/>
      <c r="D947" s="637"/>
      <c r="E947" s="637"/>
      <c r="F947" s="637"/>
      <c r="G947" s="637"/>
      <c r="H947" s="637"/>
      <c r="I947" s="637"/>
      <c r="J947" s="637"/>
    </row>
    <row r="948" spans="1:10" x14ac:dyDescent="0.2">
      <c r="A948" s="626"/>
      <c r="B948" s="637"/>
      <c r="C948" s="637"/>
      <c r="D948" s="637"/>
      <c r="E948" s="637"/>
      <c r="F948" s="637"/>
      <c r="G948" s="637"/>
      <c r="H948" s="637"/>
      <c r="I948" s="637"/>
      <c r="J948" s="637"/>
    </row>
    <row r="949" spans="1:10" x14ac:dyDescent="0.2">
      <c r="A949" s="626"/>
      <c r="B949" s="637"/>
      <c r="C949" s="637"/>
      <c r="D949" s="637"/>
      <c r="E949" s="637"/>
      <c r="F949" s="637"/>
      <c r="G949" s="637"/>
      <c r="H949" s="637"/>
      <c r="I949" s="637"/>
      <c r="J949" s="637"/>
    </row>
    <row r="950" spans="1:10" x14ac:dyDescent="0.2">
      <c r="A950" s="626"/>
      <c r="B950" s="637"/>
      <c r="C950" s="637"/>
      <c r="D950" s="637"/>
      <c r="E950" s="637"/>
      <c r="F950" s="637"/>
      <c r="G950" s="637"/>
      <c r="H950" s="637"/>
      <c r="I950" s="637"/>
      <c r="J950" s="637"/>
    </row>
    <row r="951" spans="1:10" x14ac:dyDescent="0.2">
      <c r="A951" s="626"/>
      <c r="B951" s="637"/>
      <c r="C951" s="637"/>
      <c r="D951" s="637"/>
      <c r="E951" s="637"/>
      <c r="F951" s="637"/>
      <c r="G951" s="637"/>
      <c r="H951" s="637"/>
      <c r="I951" s="637"/>
      <c r="J951" s="637"/>
    </row>
    <row r="952" spans="1:10" x14ac:dyDescent="0.2">
      <c r="A952" s="626"/>
      <c r="B952" s="637"/>
      <c r="C952" s="637"/>
      <c r="D952" s="637"/>
      <c r="E952" s="637"/>
      <c r="F952" s="637"/>
      <c r="G952" s="637"/>
      <c r="H952" s="637"/>
      <c r="I952" s="637"/>
      <c r="J952" s="637"/>
    </row>
    <row r="953" spans="1:10" x14ac:dyDescent="0.2">
      <c r="A953" s="626"/>
      <c r="B953" s="637"/>
      <c r="C953" s="637"/>
      <c r="D953" s="637"/>
      <c r="E953" s="637"/>
      <c r="F953" s="637"/>
      <c r="G953" s="637"/>
      <c r="H953" s="637"/>
      <c r="I953" s="637"/>
      <c r="J953" s="637"/>
    </row>
    <row r="954" spans="1:10" x14ac:dyDescent="0.2">
      <c r="A954" s="626"/>
      <c r="B954" s="637"/>
      <c r="C954" s="637"/>
      <c r="D954" s="637"/>
      <c r="E954" s="637"/>
      <c r="F954" s="637"/>
      <c r="G954" s="637"/>
      <c r="H954" s="637"/>
      <c r="I954" s="637"/>
      <c r="J954" s="637"/>
    </row>
    <row r="955" spans="1:10" x14ac:dyDescent="0.2">
      <c r="A955" s="626"/>
      <c r="B955" s="637"/>
      <c r="C955" s="637"/>
      <c r="D955" s="637"/>
      <c r="E955" s="637"/>
      <c r="F955" s="637"/>
      <c r="G955" s="637"/>
      <c r="H955" s="637"/>
      <c r="I955" s="637"/>
      <c r="J955" s="637"/>
    </row>
    <row r="956" spans="1:10" x14ac:dyDescent="0.2">
      <c r="A956" s="626"/>
      <c r="B956" s="637"/>
      <c r="C956" s="637"/>
      <c r="D956" s="637"/>
      <c r="E956" s="637"/>
      <c r="F956" s="637"/>
      <c r="G956" s="637"/>
      <c r="H956" s="637"/>
      <c r="I956" s="637"/>
      <c r="J956" s="637"/>
    </row>
    <row r="957" spans="1:10" x14ac:dyDescent="0.2">
      <c r="A957" s="626"/>
      <c r="B957" s="637"/>
      <c r="C957" s="637"/>
      <c r="D957" s="637"/>
      <c r="E957" s="637"/>
      <c r="F957" s="637"/>
      <c r="G957" s="637"/>
      <c r="H957" s="637"/>
      <c r="I957" s="637"/>
      <c r="J957" s="637"/>
    </row>
    <row r="958" spans="1:10" x14ac:dyDescent="0.2">
      <c r="A958" s="626"/>
      <c r="B958" s="637"/>
      <c r="C958" s="637"/>
      <c r="D958" s="637"/>
      <c r="E958" s="637"/>
      <c r="F958" s="637"/>
      <c r="G958" s="637"/>
      <c r="H958" s="637"/>
      <c r="I958" s="637"/>
      <c r="J958" s="637"/>
    </row>
    <row r="959" spans="1:10" x14ac:dyDescent="0.2">
      <c r="A959" s="626"/>
      <c r="B959" s="637"/>
      <c r="C959" s="637"/>
      <c r="D959" s="637"/>
      <c r="E959" s="637"/>
      <c r="F959" s="637"/>
      <c r="G959" s="637"/>
      <c r="H959" s="637"/>
      <c r="I959" s="637"/>
      <c r="J959" s="637"/>
    </row>
    <row r="960" spans="1:10" x14ac:dyDescent="0.2">
      <c r="A960" s="626"/>
      <c r="B960" s="637"/>
      <c r="C960" s="637"/>
      <c r="D960" s="637"/>
      <c r="E960" s="637"/>
      <c r="F960" s="637"/>
      <c r="G960" s="637"/>
      <c r="H960" s="637"/>
      <c r="I960" s="637"/>
      <c r="J960" s="637"/>
    </row>
    <row r="961" spans="1:10" x14ac:dyDescent="0.2">
      <c r="A961" s="626"/>
      <c r="B961" s="637"/>
      <c r="C961" s="637"/>
      <c r="D961" s="637"/>
      <c r="E961" s="637"/>
      <c r="F961" s="637"/>
      <c r="G961" s="637"/>
      <c r="H961" s="637"/>
      <c r="I961" s="637"/>
      <c r="J961" s="637"/>
    </row>
    <row r="962" spans="1:10" x14ac:dyDescent="0.2">
      <c r="A962" s="626"/>
      <c r="B962" s="637"/>
      <c r="C962" s="637"/>
      <c r="D962" s="637"/>
      <c r="E962" s="637"/>
      <c r="F962" s="637"/>
      <c r="G962" s="637"/>
      <c r="H962" s="637"/>
      <c r="I962" s="637"/>
      <c r="J962" s="637"/>
    </row>
    <row r="963" spans="1:10" x14ac:dyDescent="0.2">
      <c r="A963" s="626"/>
      <c r="B963" s="637"/>
      <c r="C963" s="637"/>
      <c r="D963" s="637"/>
      <c r="E963" s="637"/>
      <c r="F963" s="637"/>
      <c r="G963" s="637"/>
      <c r="H963" s="637"/>
      <c r="I963" s="637"/>
      <c r="J963" s="637"/>
    </row>
    <row r="964" spans="1:10" x14ac:dyDescent="0.2">
      <c r="A964" s="626"/>
      <c r="B964" s="637"/>
      <c r="C964" s="637"/>
      <c r="D964" s="637"/>
      <c r="E964" s="637"/>
      <c r="F964" s="637"/>
      <c r="G964" s="637"/>
      <c r="H964" s="637"/>
      <c r="I964" s="637"/>
      <c r="J964" s="637"/>
    </row>
    <row r="965" spans="1:10" x14ac:dyDescent="0.2">
      <c r="A965" s="626"/>
      <c r="B965" s="637"/>
      <c r="C965" s="637"/>
      <c r="D965" s="637"/>
      <c r="E965" s="637"/>
      <c r="F965" s="637"/>
      <c r="G965" s="637"/>
      <c r="H965" s="637"/>
      <c r="I965" s="637"/>
      <c r="J965" s="637"/>
    </row>
    <row r="966" spans="1:10" x14ac:dyDescent="0.2">
      <c r="A966" s="626"/>
      <c r="B966" s="637"/>
      <c r="C966" s="637"/>
      <c r="D966" s="637"/>
      <c r="E966" s="637"/>
      <c r="F966" s="637"/>
      <c r="G966" s="637"/>
      <c r="H966" s="637"/>
      <c r="I966" s="637"/>
      <c r="J966" s="637"/>
    </row>
    <row r="967" spans="1:10" x14ac:dyDescent="0.2">
      <c r="A967" s="626"/>
      <c r="B967" s="637"/>
      <c r="C967" s="637"/>
      <c r="D967" s="637"/>
      <c r="E967" s="637"/>
      <c r="F967" s="637"/>
      <c r="G967" s="637"/>
      <c r="H967" s="637"/>
      <c r="I967" s="637"/>
      <c r="J967" s="637"/>
    </row>
    <row r="968" spans="1:10" x14ac:dyDescent="0.2">
      <c r="A968" s="626"/>
      <c r="B968" s="637"/>
      <c r="C968" s="637"/>
      <c r="D968" s="637"/>
      <c r="E968" s="637"/>
      <c r="F968" s="637"/>
      <c r="G968" s="637"/>
      <c r="H968" s="637"/>
      <c r="I968" s="637"/>
      <c r="J968" s="637"/>
    </row>
    <row r="969" spans="1:10" x14ac:dyDescent="0.2">
      <c r="A969" s="626"/>
      <c r="B969" s="637"/>
      <c r="C969" s="637"/>
      <c r="D969" s="637"/>
      <c r="E969" s="637"/>
      <c r="F969" s="637"/>
      <c r="G969" s="637"/>
      <c r="H969" s="637"/>
      <c r="I969" s="637"/>
      <c r="J969" s="637"/>
    </row>
    <row r="970" spans="1:10" x14ac:dyDescent="0.2">
      <c r="A970" s="626"/>
      <c r="B970" s="637"/>
      <c r="C970" s="637"/>
      <c r="D970" s="637"/>
      <c r="E970" s="637"/>
      <c r="F970" s="637"/>
      <c r="G970" s="637"/>
      <c r="H970" s="637"/>
      <c r="I970" s="637"/>
      <c r="J970" s="637"/>
    </row>
    <row r="971" spans="1:10" x14ac:dyDescent="0.2">
      <c r="A971" s="626"/>
      <c r="B971" s="637"/>
      <c r="C971" s="637"/>
      <c r="D971" s="637"/>
      <c r="E971" s="637"/>
      <c r="F971" s="637"/>
      <c r="G971" s="637"/>
      <c r="H971" s="637"/>
      <c r="I971" s="637"/>
      <c r="J971" s="637"/>
    </row>
    <row r="972" spans="1:10" x14ac:dyDescent="0.2">
      <c r="A972" s="626"/>
      <c r="B972" s="637"/>
      <c r="C972" s="637"/>
      <c r="D972" s="637"/>
      <c r="E972" s="637"/>
      <c r="F972" s="637"/>
      <c r="G972" s="637"/>
      <c r="H972" s="637"/>
      <c r="I972" s="637"/>
      <c r="J972" s="637"/>
    </row>
    <row r="973" spans="1:10" x14ac:dyDescent="0.2">
      <c r="A973" s="626"/>
      <c r="B973" s="637"/>
      <c r="C973" s="637"/>
      <c r="D973" s="637"/>
      <c r="E973" s="637"/>
      <c r="F973" s="637"/>
      <c r="G973" s="637"/>
      <c r="H973" s="637"/>
      <c r="I973" s="637"/>
      <c r="J973" s="637"/>
    </row>
    <row r="974" spans="1:10" x14ac:dyDescent="0.2">
      <c r="A974" s="626"/>
      <c r="B974" s="637"/>
      <c r="C974" s="637"/>
      <c r="D974" s="637"/>
      <c r="E974" s="637"/>
      <c r="F974" s="637"/>
      <c r="G974" s="637"/>
      <c r="H974" s="637"/>
      <c r="I974" s="637"/>
      <c r="J974" s="637"/>
    </row>
    <row r="975" spans="1:10" x14ac:dyDescent="0.2">
      <c r="A975" s="626"/>
      <c r="B975" s="637"/>
      <c r="C975" s="637"/>
      <c r="D975" s="637"/>
      <c r="E975" s="637"/>
      <c r="F975" s="637"/>
      <c r="G975" s="637"/>
      <c r="H975" s="637"/>
      <c r="I975" s="637"/>
      <c r="J975" s="637"/>
    </row>
    <row r="976" spans="1:10" x14ac:dyDescent="0.2">
      <c r="A976" s="626"/>
      <c r="B976" s="637"/>
      <c r="C976" s="637"/>
      <c r="D976" s="637"/>
      <c r="E976" s="637"/>
      <c r="F976" s="637"/>
      <c r="G976" s="637"/>
      <c r="H976" s="637"/>
      <c r="I976" s="637"/>
      <c r="J976" s="637"/>
    </row>
    <row r="977" spans="1:10" x14ac:dyDescent="0.2">
      <c r="A977" s="626"/>
      <c r="B977" s="637"/>
      <c r="C977" s="637"/>
      <c r="D977" s="637"/>
      <c r="E977" s="637"/>
      <c r="F977" s="637"/>
      <c r="G977" s="637"/>
      <c r="H977" s="637"/>
      <c r="I977" s="637"/>
      <c r="J977" s="637"/>
    </row>
    <row r="978" spans="1:10" x14ac:dyDescent="0.2">
      <c r="A978" s="626"/>
      <c r="B978" s="637"/>
      <c r="C978" s="637"/>
      <c r="D978" s="637"/>
      <c r="E978" s="637"/>
      <c r="F978" s="637"/>
      <c r="G978" s="637"/>
      <c r="H978" s="637"/>
      <c r="I978" s="637"/>
      <c r="J978" s="637"/>
    </row>
    <row r="979" spans="1:10" x14ac:dyDescent="0.2">
      <c r="A979" s="626"/>
      <c r="B979" s="637"/>
      <c r="C979" s="637"/>
      <c r="D979" s="637"/>
      <c r="E979" s="637"/>
      <c r="F979" s="637"/>
      <c r="G979" s="637"/>
      <c r="H979" s="637"/>
      <c r="I979" s="637"/>
      <c r="J979" s="637"/>
    </row>
    <row r="980" spans="1:10" x14ac:dyDescent="0.2">
      <c r="A980" s="626"/>
      <c r="B980" s="637"/>
      <c r="C980" s="637"/>
      <c r="D980" s="637"/>
      <c r="E980" s="637"/>
      <c r="F980" s="637"/>
      <c r="G980" s="637"/>
      <c r="H980" s="637"/>
      <c r="I980" s="637"/>
      <c r="J980" s="637"/>
    </row>
    <row r="981" spans="1:10" x14ac:dyDescent="0.2">
      <c r="A981" s="626"/>
      <c r="B981" s="637"/>
      <c r="C981" s="637"/>
      <c r="D981" s="637"/>
      <c r="E981" s="637"/>
      <c r="F981" s="637"/>
      <c r="G981" s="637"/>
      <c r="H981" s="637"/>
      <c r="I981" s="637"/>
      <c r="J981" s="637"/>
    </row>
    <row r="982" spans="1:10" x14ac:dyDescent="0.2">
      <c r="A982" s="626"/>
      <c r="B982" s="637"/>
      <c r="C982" s="637"/>
      <c r="D982" s="637"/>
      <c r="E982" s="637"/>
      <c r="F982" s="637"/>
      <c r="G982" s="637"/>
      <c r="H982" s="637"/>
      <c r="I982" s="637"/>
      <c r="J982" s="637"/>
    </row>
    <row r="983" spans="1:10" x14ac:dyDescent="0.2">
      <c r="A983" s="626"/>
      <c r="B983" s="637"/>
      <c r="C983" s="637"/>
      <c r="D983" s="637"/>
      <c r="E983" s="637"/>
      <c r="F983" s="637"/>
      <c r="G983" s="637"/>
      <c r="H983" s="637"/>
      <c r="I983" s="637"/>
      <c r="J983" s="637"/>
    </row>
    <row r="984" spans="1:10" x14ac:dyDescent="0.2">
      <c r="A984" s="626"/>
      <c r="B984" s="637"/>
      <c r="C984" s="637"/>
      <c r="D984" s="637"/>
      <c r="E984" s="637"/>
      <c r="F984" s="637"/>
      <c r="G984" s="637"/>
      <c r="H984" s="637"/>
      <c r="I984" s="637"/>
      <c r="J984" s="637"/>
    </row>
    <row r="985" spans="1:10" x14ac:dyDescent="0.2">
      <c r="A985" s="626"/>
      <c r="B985" s="637"/>
      <c r="C985" s="637"/>
      <c r="D985" s="637"/>
      <c r="E985" s="637"/>
      <c r="F985" s="637"/>
      <c r="G985" s="637"/>
      <c r="H985" s="637"/>
      <c r="I985" s="637"/>
      <c r="J985" s="637"/>
    </row>
    <row r="986" spans="1:10" x14ac:dyDescent="0.2">
      <c r="A986" s="626"/>
      <c r="B986" s="637"/>
      <c r="C986" s="637"/>
      <c r="D986" s="637"/>
      <c r="E986" s="637"/>
      <c r="F986" s="637"/>
      <c r="G986" s="637"/>
      <c r="H986" s="637"/>
      <c r="I986" s="637"/>
      <c r="J986" s="637"/>
    </row>
    <row r="987" spans="1:10" x14ac:dyDescent="0.2">
      <c r="A987" s="626"/>
      <c r="B987" s="637"/>
      <c r="C987" s="637"/>
      <c r="D987" s="637"/>
      <c r="E987" s="637"/>
      <c r="F987" s="637"/>
      <c r="G987" s="637"/>
      <c r="H987" s="637"/>
      <c r="I987" s="637"/>
      <c r="J987" s="637"/>
    </row>
    <row r="988" spans="1:10" x14ac:dyDescent="0.2">
      <c r="A988" s="626"/>
      <c r="B988" s="637"/>
      <c r="C988" s="637"/>
      <c r="D988" s="637"/>
      <c r="E988" s="637"/>
      <c r="F988" s="637"/>
      <c r="G988" s="637"/>
      <c r="H988" s="637"/>
      <c r="I988" s="637"/>
      <c r="J988" s="637"/>
    </row>
    <row r="989" spans="1:10" x14ac:dyDescent="0.2">
      <c r="A989" s="626"/>
      <c r="B989" s="637"/>
      <c r="C989" s="637"/>
      <c r="D989" s="637"/>
      <c r="E989" s="637"/>
      <c r="F989" s="637"/>
      <c r="G989" s="637"/>
      <c r="H989" s="637"/>
      <c r="I989" s="637"/>
      <c r="J989" s="637"/>
    </row>
    <row r="990" spans="1:10" x14ac:dyDescent="0.2">
      <c r="A990" s="626"/>
      <c r="B990" s="637"/>
      <c r="C990" s="637"/>
      <c r="D990" s="637"/>
      <c r="E990" s="637"/>
      <c r="F990" s="637"/>
      <c r="G990" s="637"/>
      <c r="H990" s="637"/>
      <c r="I990" s="637"/>
      <c r="J990" s="637"/>
    </row>
    <row r="991" spans="1:10" x14ac:dyDescent="0.2">
      <c r="A991" s="626"/>
      <c r="B991" s="637"/>
      <c r="C991" s="637"/>
      <c r="D991" s="637"/>
      <c r="E991" s="637"/>
      <c r="F991" s="637"/>
      <c r="G991" s="637"/>
      <c r="H991" s="637"/>
      <c r="I991" s="637"/>
      <c r="J991" s="637"/>
    </row>
    <row r="992" spans="1:10" x14ac:dyDescent="0.2">
      <c r="A992" s="626"/>
      <c r="B992" s="637"/>
      <c r="C992" s="637"/>
      <c r="D992" s="637"/>
      <c r="E992" s="637"/>
      <c r="F992" s="637"/>
      <c r="G992" s="637"/>
      <c r="H992" s="637"/>
      <c r="I992" s="637"/>
      <c r="J992" s="637"/>
    </row>
    <row r="993" spans="1:10" x14ac:dyDescent="0.2">
      <c r="A993" s="626"/>
      <c r="B993" s="637"/>
      <c r="C993" s="637"/>
      <c r="D993" s="637"/>
      <c r="E993" s="637"/>
      <c r="F993" s="637"/>
      <c r="G993" s="637"/>
      <c r="H993" s="637"/>
      <c r="I993" s="637"/>
      <c r="J993" s="637"/>
    </row>
    <row r="994" spans="1:10" x14ac:dyDescent="0.2">
      <c r="A994" s="626"/>
      <c r="B994" s="637"/>
      <c r="C994" s="637"/>
      <c r="D994" s="637"/>
      <c r="E994" s="637"/>
      <c r="F994" s="637"/>
      <c r="G994" s="637"/>
      <c r="H994" s="637"/>
      <c r="I994" s="637"/>
      <c r="J994" s="637"/>
    </row>
    <row r="995" spans="1:10" x14ac:dyDescent="0.2">
      <c r="A995" s="626"/>
      <c r="B995" s="637"/>
      <c r="C995" s="637"/>
      <c r="D995" s="637"/>
      <c r="E995" s="637"/>
      <c r="F995" s="637"/>
      <c r="G995" s="637"/>
      <c r="H995" s="637"/>
      <c r="I995" s="637"/>
      <c r="J995" s="637"/>
    </row>
    <row r="996" spans="1:10" x14ac:dyDescent="0.2">
      <c r="A996" s="626"/>
      <c r="B996" s="637"/>
      <c r="C996" s="637"/>
      <c r="D996" s="637"/>
      <c r="E996" s="637"/>
      <c r="F996" s="637"/>
      <c r="G996" s="637"/>
      <c r="H996" s="637"/>
      <c r="I996" s="637"/>
      <c r="J996" s="637"/>
    </row>
    <row r="997" spans="1:10" x14ac:dyDescent="0.2">
      <c r="A997" s="626"/>
      <c r="B997" s="637"/>
      <c r="C997" s="637"/>
      <c r="D997" s="637"/>
      <c r="E997" s="637"/>
      <c r="F997" s="637"/>
      <c r="G997" s="637"/>
      <c r="H997" s="637"/>
      <c r="I997" s="637"/>
      <c r="J997" s="637"/>
    </row>
    <row r="998" spans="1:10" x14ac:dyDescent="0.2">
      <c r="A998" s="626"/>
      <c r="B998" s="637"/>
      <c r="C998" s="637"/>
      <c r="D998" s="637"/>
      <c r="E998" s="637"/>
      <c r="F998" s="637"/>
      <c r="G998" s="637"/>
      <c r="H998" s="637"/>
      <c r="I998" s="637"/>
      <c r="J998" s="637"/>
    </row>
    <row r="999" spans="1:10" x14ac:dyDescent="0.2">
      <c r="A999" s="626"/>
      <c r="B999" s="637"/>
      <c r="C999" s="637"/>
      <c r="D999" s="637"/>
      <c r="E999" s="637"/>
      <c r="F999" s="637"/>
      <c r="G999" s="637"/>
      <c r="H999" s="637"/>
      <c r="I999" s="637"/>
      <c r="J999" s="637"/>
    </row>
    <row r="1000" spans="1:10" x14ac:dyDescent="0.2">
      <c r="A1000" s="626"/>
      <c r="B1000" s="637"/>
      <c r="C1000" s="637"/>
      <c r="D1000" s="637"/>
      <c r="E1000" s="637"/>
      <c r="F1000" s="637"/>
      <c r="G1000" s="637"/>
      <c r="H1000" s="637"/>
      <c r="I1000" s="637"/>
      <c r="J1000" s="637"/>
    </row>
    <row r="1001" spans="1:10" x14ac:dyDescent="0.2">
      <c r="A1001" s="626"/>
      <c r="B1001" s="637"/>
      <c r="C1001" s="637"/>
      <c r="D1001" s="637"/>
      <c r="E1001" s="637"/>
      <c r="F1001" s="637"/>
      <c r="G1001" s="637"/>
      <c r="H1001" s="637"/>
      <c r="I1001" s="637"/>
      <c r="J1001" s="637"/>
    </row>
    <row r="1002" spans="1:10" x14ac:dyDescent="0.2">
      <c r="A1002" s="626"/>
      <c r="B1002" s="637"/>
      <c r="C1002" s="637"/>
      <c r="D1002" s="637"/>
      <c r="E1002" s="637"/>
      <c r="F1002" s="637"/>
      <c r="G1002" s="637"/>
      <c r="H1002" s="637"/>
      <c r="I1002" s="637"/>
      <c r="J1002" s="637"/>
    </row>
    <row r="1003" spans="1:10" x14ac:dyDescent="0.2">
      <c r="A1003" s="626"/>
      <c r="B1003" s="637"/>
      <c r="C1003" s="637"/>
      <c r="D1003" s="637"/>
      <c r="E1003" s="637"/>
      <c r="F1003" s="637"/>
      <c r="G1003" s="637"/>
      <c r="H1003" s="637"/>
      <c r="I1003" s="637"/>
      <c r="J1003" s="637"/>
    </row>
    <row r="1004" spans="1:10" x14ac:dyDescent="0.2">
      <c r="A1004" s="626"/>
      <c r="B1004" s="637"/>
      <c r="C1004" s="637"/>
      <c r="D1004" s="637"/>
      <c r="E1004" s="637"/>
      <c r="F1004" s="637"/>
      <c r="G1004" s="637"/>
      <c r="H1004" s="637"/>
      <c r="I1004" s="637"/>
      <c r="J1004" s="637"/>
    </row>
    <row r="1005" spans="1:10" x14ac:dyDescent="0.2">
      <c r="A1005" s="626"/>
      <c r="B1005" s="637"/>
      <c r="C1005" s="637"/>
      <c r="D1005" s="637"/>
      <c r="E1005" s="637"/>
      <c r="F1005" s="637"/>
      <c r="G1005" s="637"/>
      <c r="H1005" s="637"/>
      <c r="I1005" s="637"/>
      <c r="J1005" s="637"/>
    </row>
    <row r="1006" spans="1:10" x14ac:dyDescent="0.2">
      <c r="A1006" s="626"/>
      <c r="B1006" s="637"/>
      <c r="C1006" s="637"/>
      <c r="D1006" s="637"/>
      <c r="E1006" s="637"/>
      <c r="F1006" s="637"/>
      <c r="G1006" s="637"/>
      <c r="H1006" s="637"/>
      <c r="I1006" s="637"/>
      <c r="J1006" s="637"/>
    </row>
    <row r="1007" spans="1:10" x14ac:dyDescent="0.2">
      <c r="A1007" s="626"/>
      <c r="B1007" s="637"/>
      <c r="C1007" s="637"/>
      <c r="D1007" s="637"/>
      <c r="E1007" s="637"/>
      <c r="F1007" s="637"/>
      <c r="G1007" s="637"/>
      <c r="H1007" s="637"/>
      <c r="I1007" s="637"/>
      <c r="J1007" s="637"/>
    </row>
    <row r="1008" spans="1:10" x14ac:dyDescent="0.2">
      <c r="A1008" s="626"/>
      <c r="B1008" s="637"/>
      <c r="C1008" s="637"/>
      <c r="D1008" s="637"/>
      <c r="E1008" s="637"/>
      <c r="F1008" s="637"/>
      <c r="G1008" s="637"/>
      <c r="H1008" s="637"/>
      <c r="I1008" s="637"/>
      <c r="J1008" s="637"/>
    </row>
    <row r="1009" spans="1:10" x14ac:dyDescent="0.2">
      <c r="A1009" s="626"/>
      <c r="B1009" s="637"/>
      <c r="C1009" s="637"/>
      <c r="D1009" s="637"/>
      <c r="E1009" s="637"/>
      <c r="F1009" s="637"/>
      <c r="G1009" s="637"/>
      <c r="H1009" s="637"/>
      <c r="I1009" s="637"/>
      <c r="J1009" s="637"/>
    </row>
    <row r="1010" spans="1:10" x14ac:dyDescent="0.2">
      <c r="A1010" s="626"/>
      <c r="B1010" s="637"/>
      <c r="C1010" s="637"/>
      <c r="D1010" s="637"/>
      <c r="E1010" s="637"/>
      <c r="F1010" s="637"/>
      <c r="G1010" s="637"/>
      <c r="H1010" s="637"/>
      <c r="I1010" s="637"/>
      <c r="J1010" s="637"/>
    </row>
    <row r="1011" spans="1:10" x14ac:dyDescent="0.2">
      <c r="A1011" s="626"/>
      <c r="B1011" s="637"/>
      <c r="C1011" s="637"/>
      <c r="D1011" s="637"/>
      <c r="E1011" s="637"/>
      <c r="F1011" s="637"/>
      <c r="G1011" s="637"/>
      <c r="H1011" s="637"/>
      <c r="I1011" s="637"/>
      <c r="J1011" s="637"/>
    </row>
    <row r="1012" spans="1:10" x14ac:dyDescent="0.2">
      <c r="A1012" s="626"/>
      <c r="B1012" s="637"/>
      <c r="C1012" s="637"/>
      <c r="D1012" s="637"/>
      <c r="E1012" s="637"/>
      <c r="F1012" s="637"/>
      <c r="G1012" s="637"/>
      <c r="H1012" s="637"/>
      <c r="I1012" s="637"/>
      <c r="J1012" s="637"/>
    </row>
    <row r="1013" spans="1:10" x14ac:dyDescent="0.2">
      <c r="A1013" s="626"/>
      <c r="B1013" s="637"/>
      <c r="C1013" s="637"/>
      <c r="D1013" s="637"/>
      <c r="E1013" s="637"/>
      <c r="F1013" s="637"/>
      <c r="G1013" s="637"/>
      <c r="H1013" s="637"/>
      <c r="I1013" s="637"/>
      <c r="J1013" s="637"/>
    </row>
    <row r="1014" spans="1:10" x14ac:dyDescent="0.2">
      <c r="A1014" s="626"/>
      <c r="B1014" s="637"/>
      <c r="C1014" s="637"/>
      <c r="D1014" s="637"/>
      <c r="E1014" s="637"/>
      <c r="F1014" s="637"/>
      <c r="G1014" s="637"/>
      <c r="H1014" s="637"/>
      <c r="I1014" s="637"/>
      <c r="J1014" s="637"/>
    </row>
    <row r="1015" spans="1:10" x14ac:dyDescent="0.2">
      <c r="A1015" s="626"/>
      <c r="B1015" s="637"/>
      <c r="C1015" s="637"/>
      <c r="D1015" s="637"/>
      <c r="E1015" s="637"/>
      <c r="F1015" s="637"/>
      <c r="G1015" s="637"/>
      <c r="H1015" s="637"/>
      <c r="I1015" s="637"/>
      <c r="J1015" s="637"/>
    </row>
    <row r="1016" spans="1:10" x14ac:dyDescent="0.2">
      <c r="A1016" s="626"/>
      <c r="B1016" s="637"/>
      <c r="C1016" s="637"/>
      <c r="D1016" s="637"/>
      <c r="E1016" s="637"/>
      <c r="F1016" s="637"/>
      <c r="G1016" s="637"/>
      <c r="H1016" s="637"/>
      <c r="I1016" s="637"/>
      <c r="J1016" s="637"/>
    </row>
    <row r="1017" spans="1:10" x14ac:dyDescent="0.2">
      <c r="A1017" s="626"/>
      <c r="B1017" s="637"/>
      <c r="C1017" s="637"/>
      <c r="D1017" s="637"/>
      <c r="E1017" s="637"/>
      <c r="F1017" s="637"/>
      <c r="G1017" s="637"/>
      <c r="H1017" s="637"/>
      <c r="I1017" s="637"/>
      <c r="J1017" s="637"/>
    </row>
    <row r="1018" spans="1:10" x14ac:dyDescent="0.2">
      <c r="A1018" s="626"/>
      <c r="B1018" s="637"/>
      <c r="C1018" s="637"/>
      <c r="D1018" s="637"/>
      <c r="E1018" s="637"/>
      <c r="F1018" s="637"/>
      <c r="G1018" s="637"/>
      <c r="H1018" s="637"/>
      <c r="I1018" s="637"/>
      <c r="J1018" s="637"/>
    </row>
    <row r="1019" spans="1:10" x14ac:dyDescent="0.2">
      <c r="A1019" s="626"/>
      <c r="B1019" s="637"/>
      <c r="C1019" s="637"/>
      <c r="D1019" s="637"/>
      <c r="E1019" s="637"/>
      <c r="F1019" s="637"/>
      <c r="G1019" s="637"/>
      <c r="H1019" s="637"/>
      <c r="I1019" s="637"/>
      <c r="J1019" s="637"/>
    </row>
    <row r="1020" spans="1:10" x14ac:dyDescent="0.2">
      <c r="A1020" s="626"/>
      <c r="B1020" s="637"/>
      <c r="C1020" s="637"/>
      <c r="D1020" s="637"/>
      <c r="E1020" s="637"/>
      <c r="F1020" s="637"/>
      <c r="G1020" s="637"/>
      <c r="H1020" s="637"/>
      <c r="I1020" s="637"/>
      <c r="J1020" s="637"/>
    </row>
    <row r="1021" spans="1:10" x14ac:dyDescent="0.2">
      <c r="A1021" s="626"/>
      <c r="B1021" s="637"/>
      <c r="C1021" s="637"/>
      <c r="D1021" s="637"/>
      <c r="E1021" s="637"/>
      <c r="F1021" s="637"/>
      <c r="G1021" s="637"/>
      <c r="H1021" s="637"/>
      <c r="I1021" s="637"/>
      <c r="J1021" s="637"/>
    </row>
    <row r="1022" spans="1:10" x14ac:dyDescent="0.2">
      <c r="A1022" s="626"/>
      <c r="B1022" s="637"/>
      <c r="C1022" s="637"/>
      <c r="D1022" s="637"/>
      <c r="E1022" s="637"/>
      <c r="F1022" s="637"/>
      <c r="G1022" s="637"/>
      <c r="H1022" s="637"/>
      <c r="I1022" s="637"/>
      <c r="J1022" s="637"/>
    </row>
    <row r="1023" spans="1:10" x14ac:dyDescent="0.2">
      <c r="A1023" s="626"/>
      <c r="B1023" s="637"/>
      <c r="C1023" s="637"/>
      <c r="D1023" s="637"/>
      <c r="E1023" s="637"/>
      <c r="F1023" s="637"/>
      <c r="G1023" s="637"/>
      <c r="H1023" s="637"/>
      <c r="I1023" s="637"/>
      <c r="J1023" s="637"/>
    </row>
    <row r="1024" spans="1:10" x14ac:dyDescent="0.2">
      <c r="A1024" s="626"/>
      <c r="B1024" s="637"/>
      <c r="C1024" s="637"/>
      <c r="D1024" s="637"/>
      <c r="E1024" s="637"/>
      <c r="F1024" s="637"/>
      <c r="G1024" s="637"/>
      <c r="H1024" s="637"/>
      <c r="I1024" s="637"/>
      <c r="J1024" s="637"/>
    </row>
    <row r="1025" spans="1:10" x14ac:dyDescent="0.2">
      <c r="A1025" s="626"/>
      <c r="B1025" s="637"/>
      <c r="C1025" s="637"/>
      <c r="D1025" s="637"/>
      <c r="E1025" s="637"/>
      <c r="F1025" s="637"/>
      <c r="G1025" s="637"/>
      <c r="H1025" s="637"/>
      <c r="I1025" s="637"/>
      <c r="J1025" s="637"/>
    </row>
    <row r="1026" spans="1:10" x14ac:dyDescent="0.2">
      <c r="A1026" s="626"/>
      <c r="B1026" s="637"/>
      <c r="C1026" s="637"/>
      <c r="D1026" s="637"/>
      <c r="E1026" s="637"/>
      <c r="F1026" s="637"/>
      <c r="G1026" s="637"/>
      <c r="H1026" s="637"/>
      <c r="I1026" s="637"/>
      <c r="J1026" s="637"/>
    </row>
    <row r="1027" spans="1:10" x14ac:dyDescent="0.2">
      <c r="A1027" s="626"/>
      <c r="B1027" s="637"/>
      <c r="C1027" s="637"/>
      <c r="D1027" s="637"/>
      <c r="E1027" s="637"/>
      <c r="F1027" s="637"/>
      <c r="G1027" s="637"/>
      <c r="H1027" s="637"/>
      <c r="I1027" s="637"/>
      <c r="J1027" s="637"/>
    </row>
    <row r="1028" spans="1:10" x14ac:dyDescent="0.2">
      <c r="A1028" s="626"/>
      <c r="B1028" s="637"/>
      <c r="C1028" s="637"/>
      <c r="D1028" s="637"/>
      <c r="E1028" s="637"/>
      <c r="F1028" s="637"/>
      <c r="G1028" s="637"/>
      <c r="H1028" s="637"/>
      <c r="I1028" s="637"/>
      <c r="J1028" s="637"/>
    </row>
    <row r="1029" spans="1:10" x14ac:dyDescent="0.2">
      <c r="A1029" s="626"/>
      <c r="B1029" s="637"/>
      <c r="C1029" s="637"/>
      <c r="D1029" s="637"/>
      <c r="E1029" s="637"/>
      <c r="F1029" s="637"/>
      <c r="G1029" s="637"/>
      <c r="H1029" s="637"/>
      <c r="I1029" s="637"/>
      <c r="J1029" s="637"/>
    </row>
    <row r="1030" spans="1:10" x14ac:dyDescent="0.2">
      <c r="A1030" s="626"/>
      <c r="B1030" s="637"/>
      <c r="C1030" s="637"/>
      <c r="D1030" s="637"/>
      <c r="E1030" s="637"/>
      <c r="F1030" s="637"/>
      <c r="G1030" s="637"/>
      <c r="H1030" s="637"/>
      <c r="I1030" s="637"/>
      <c r="J1030" s="637"/>
    </row>
    <row r="1031" spans="1:10" x14ac:dyDescent="0.2">
      <c r="A1031" s="626"/>
      <c r="B1031" s="637"/>
      <c r="C1031" s="637"/>
      <c r="D1031" s="637"/>
      <c r="E1031" s="637"/>
      <c r="F1031" s="637"/>
      <c r="G1031" s="637"/>
      <c r="H1031" s="637"/>
      <c r="I1031" s="637"/>
      <c r="J1031" s="637"/>
    </row>
    <row r="1032" spans="1:10" x14ac:dyDescent="0.2">
      <c r="A1032" s="626"/>
      <c r="B1032" s="637"/>
      <c r="C1032" s="637"/>
      <c r="D1032" s="637"/>
      <c r="E1032" s="637"/>
      <c r="F1032" s="637"/>
      <c r="G1032" s="637"/>
      <c r="H1032" s="637"/>
      <c r="I1032" s="637"/>
      <c r="J1032" s="637"/>
    </row>
    <row r="1033" spans="1:10" x14ac:dyDescent="0.2">
      <c r="A1033" s="626"/>
      <c r="B1033" s="637"/>
      <c r="C1033" s="637"/>
      <c r="D1033" s="637"/>
      <c r="E1033" s="637"/>
      <c r="F1033" s="637"/>
      <c r="G1033" s="637"/>
      <c r="H1033" s="637"/>
      <c r="I1033" s="637"/>
      <c r="J1033" s="637"/>
    </row>
    <row r="1034" spans="1:10" x14ac:dyDescent="0.2">
      <c r="A1034" s="626"/>
      <c r="B1034" s="637"/>
      <c r="C1034" s="637"/>
      <c r="D1034" s="637"/>
      <c r="E1034" s="637"/>
      <c r="F1034" s="637"/>
      <c r="G1034" s="637"/>
      <c r="H1034" s="637"/>
      <c r="I1034" s="637"/>
      <c r="J1034" s="637"/>
    </row>
    <row r="1035" spans="1:10" x14ac:dyDescent="0.2">
      <c r="A1035" s="626"/>
      <c r="B1035" s="637"/>
      <c r="C1035" s="637"/>
      <c r="D1035" s="637"/>
      <c r="E1035" s="637"/>
      <c r="F1035" s="637"/>
      <c r="G1035" s="637"/>
      <c r="H1035" s="637"/>
      <c r="I1035" s="637"/>
      <c r="J1035" s="637"/>
    </row>
    <row r="1036" spans="1:10" x14ac:dyDescent="0.2">
      <c r="A1036" s="626"/>
      <c r="B1036" s="637"/>
      <c r="C1036" s="637"/>
      <c r="D1036" s="637"/>
      <c r="E1036" s="637"/>
      <c r="F1036" s="637"/>
      <c r="G1036" s="637"/>
      <c r="H1036" s="637"/>
      <c r="I1036" s="637"/>
      <c r="J1036" s="637"/>
    </row>
    <row r="1037" spans="1:10" x14ac:dyDescent="0.2">
      <c r="A1037" s="626"/>
      <c r="B1037" s="637"/>
      <c r="C1037" s="637"/>
      <c r="D1037" s="637"/>
      <c r="E1037" s="637"/>
      <c r="F1037" s="637"/>
      <c r="G1037" s="637"/>
      <c r="H1037" s="637"/>
      <c r="I1037" s="637"/>
      <c r="J1037" s="637"/>
    </row>
    <row r="1038" spans="1:10" x14ac:dyDescent="0.2">
      <c r="A1038" s="626"/>
      <c r="B1038" s="637"/>
      <c r="C1038" s="637"/>
      <c r="D1038" s="637"/>
      <c r="E1038" s="637"/>
      <c r="F1038" s="637"/>
      <c r="G1038" s="637"/>
      <c r="H1038" s="637"/>
      <c r="I1038" s="637"/>
      <c r="J1038" s="637"/>
    </row>
    <row r="1039" spans="1:10" x14ac:dyDescent="0.2">
      <c r="A1039" s="626"/>
      <c r="B1039" s="637"/>
      <c r="C1039" s="637"/>
      <c r="D1039" s="637"/>
      <c r="E1039" s="637"/>
      <c r="F1039" s="637"/>
      <c r="G1039" s="637"/>
      <c r="H1039" s="637"/>
      <c r="I1039" s="637"/>
      <c r="J1039" s="637"/>
    </row>
    <row r="1040" spans="1:10" x14ac:dyDescent="0.2">
      <c r="A1040" s="626"/>
      <c r="B1040" s="637"/>
      <c r="C1040" s="637"/>
      <c r="D1040" s="637"/>
      <c r="E1040" s="637"/>
      <c r="F1040" s="637"/>
      <c r="G1040" s="637"/>
      <c r="H1040" s="637"/>
      <c r="I1040" s="637"/>
      <c r="J1040" s="637"/>
    </row>
    <row r="1041" spans="1:10" x14ac:dyDescent="0.2">
      <c r="A1041" s="626"/>
      <c r="B1041" s="637"/>
      <c r="C1041" s="637"/>
      <c r="D1041" s="637"/>
      <c r="E1041" s="637"/>
      <c r="F1041" s="637"/>
      <c r="G1041" s="637"/>
      <c r="H1041" s="637"/>
      <c r="I1041" s="637"/>
      <c r="J1041" s="637"/>
    </row>
    <row r="1042" spans="1:10" x14ac:dyDescent="0.2">
      <c r="A1042" s="626"/>
      <c r="B1042" s="637"/>
      <c r="C1042" s="637"/>
      <c r="D1042" s="637"/>
      <c r="E1042" s="637"/>
      <c r="F1042" s="637"/>
      <c r="G1042" s="637"/>
      <c r="H1042" s="637"/>
      <c r="I1042" s="637"/>
      <c r="J1042" s="637"/>
    </row>
    <row r="1043" spans="1:10" x14ac:dyDescent="0.2">
      <c r="A1043" s="626"/>
      <c r="B1043" s="637"/>
      <c r="C1043" s="637"/>
      <c r="D1043" s="637"/>
      <c r="E1043" s="637"/>
      <c r="F1043" s="637"/>
      <c r="G1043" s="637"/>
      <c r="H1043" s="637"/>
      <c r="I1043" s="637"/>
      <c r="J1043" s="637"/>
    </row>
    <row r="1044" spans="1:10" x14ac:dyDescent="0.2">
      <c r="A1044" s="626"/>
      <c r="B1044" s="637"/>
      <c r="C1044" s="637"/>
      <c r="D1044" s="637"/>
      <c r="E1044" s="637"/>
      <c r="F1044" s="637"/>
      <c r="G1044" s="637"/>
      <c r="H1044" s="637"/>
      <c r="I1044" s="637"/>
      <c r="J1044" s="637"/>
    </row>
    <row r="1045" spans="1:10" x14ac:dyDescent="0.2">
      <c r="A1045" s="626"/>
      <c r="B1045" s="637"/>
      <c r="C1045" s="637"/>
      <c r="D1045" s="637"/>
      <c r="E1045" s="637"/>
      <c r="F1045" s="637"/>
      <c r="G1045" s="637"/>
      <c r="H1045" s="637"/>
      <c r="I1045" s="637"/>
      <c r="J1045" s="637"/>
    </row>
    <row r="1046" spans="1:10" x14ac:dyDescent="0.2">
      <c r="A1046" s="626"/>
      <c r="B1046" s="637"/>
      <c r="C1046" s="637"/>
      <c r="D1046" s="637"/>
      <c r="E1046" s="637"/>
      <c r="F1046" s="637"/>
      <c r="G1046" s="637"/>
      <c r="H1046" s="637"/>
      <c r="I1046" s="637"/>
      <c r="J1046" s="637"/>
    </row>
    <row r="1047" spans="1:10" x14ac:dyDescent="0.2">
      <c r="A1047" s="626"/>
      <c r="B1047" s="637"/>
      <c r="C1047" s="637"/>
      <c r="D1047" s="637"/>
      <c r="E1047" s="637"/>
      <c r="F1047" s="637"/>
      <c r="G1047" s="637"/>
      <c r="H1047" s="637"/>
      <c r="I1047" s="637"/>
      <c r="J1047" s="637"/>
    </row>
    <row r="1048" spans="1:10" x14ac:dyDescent="0.2">
      <c r="A1048" s="626"/>
      <c r="B1048" s="637"/>
      <c r="C1048" s="637"/>
      <c r="D1048" s="637"/>
      <c r="E1048" s="637"/>
      <c r="F1048" s="637"/>
      <c r="G1048" s="637"/>
      <c r="H1048" s="637"/>
      <c r="I1048" s="637"/>
      <c r="J1048" s="637"/>
    </row>
    <row r="1049" spans="1:10" x14ac:dyDescent="0.2">
      <c r="A1049" s="626"/>
      <c r="B1049" s="637"/>
      <c r="C1049" s="637"/>
      <c r="D1049" s="637"/>
      <c r="E1049" s="637"/>
      <c r="F1049" s="637"/>
      <c r="G1049" s="637"/>
      <c r="H1049" s="637"/>
      <c r="I1049" s="637"/>
      <c r="J1049" s="637"/>
    </row>
    <row r="1050" spans="1:10" x14ac:dyDescent="0.2">
      <c r="A1050" s="626"/>
      <c r="B1050" s="637"/>
      <c r="C1050" s="637"/>
      <c r="D1050" s="637"/>
      <c r="E1050" s="637"/>
      <c r="F1050" s="637"/>
      <c r="G1050" s="637"/>
      <c r="H1050" s="637"/>
      <c r="I1050" s="637"/>
      <c r="J1050" s="637"/>
    </row>
    <row r="1051" spans="1:10" x14ac:dyDescent="0.2">
      <c r="A1051" s="626"/>
      <c r="B1051" s="637"/>
      <c r="C1051" s="637"/>
      <c r="D1051" s="637"/>
      <c r="E1051" s="637"/>
      <c r="F1051" s="637"/>
      <c r="G1051" s="637"/>
      <c r="H1051" s="637"/>
      <c r="I1051" s="637"/>
      <c r="J1051" s="637"/>
    </row>
    <row r="1052" spans="1:10" x14ac:dyDescent="0.2">
      <c r="A1052" s="626"/>
      <c r="B1052" s="637"/>
      <c r="C1052" s="637"/>
      <c r="D1052" s="637"/>
      <c r="E1052" s="637"/>
      <c r="F1052" s="637"/>
      <c r="G1052" s="637"/>
      <c r="H1052" s="637"/>
      <c r="I1052" s="637"/>
      <c r="J1052" s="637"/>
    </row>
    <row r="1053" spans="1:10" x14ac:dyDescent="0.2">
      <c r="A1053" s="626"/>
      <c r="B1053" s="637"/>
      <c r="C1053" s="637"/>
      <c r="D1053" s="637"/>
      <c r="E1053" s="637"/>
      <c r="F1053" s="637"/>
      <c r="G1053" s="637"/>
      <c r="H1053" s="637"/>
      <c r="I1053" s="637"/>
      <c r="J1053" s="637"/>
    </row>
    <row r="1054" spans="1:10" x14ac:dyDescent="0.2">
      <c r="A1054" s="626"/>
      <c r="B1054" s="637"/>
      <c r="C1054" s="637"/>
      <c r="D1054" s="637"/>
      <c r="E1054" s="637"/>
      <c r="F1054" s="637"/>
      <c r="G1054" s="637"/>
      <c r="H1054" s="637"/>
      <c r="I1054" s="637"/>
      <c r="J1054" s="637"/>
    </row>
    <row r="1055" spans="1:10" x14ac:dyDescent="0.2">
      <c r="A1055" s="626"/>
      <c r="B1055" s="637"/>
      <c r="C1055" s="637"/>
      <c r="D1055" s="637"/>
      <c r="E1055" s="637"/>
      <c r="F1055" s="637"/>
      <c r="G1055" s="637"/>
      <c r="H1055" s="637"/>
      <c r="I1055" s="637"/>
      <c r="J1055" s="637"/>
    </row>
    <row r="1056" spans="1:10" x14ac:dyDescent="0.2">
      <c r="A1056" s="626"/>
      <c r="B1056" s="637"/>
      <c r="C1056" s="637"/>
      <c r="D1056" s="637"/>
      <c r="E1056" s="637"/>
      <c r="F1056" s="637"/>
      <c r="G1056" s="637"/>
      <c r="H1056" s="637"/>
      <c r="I1056" s="637"/>
      <c r="J1056" s="637"/>
    </row>
    <row r="1057" spans="1:10" x14ac:dyDescent="0.2">
      <c r="A1057" s="626"/>
      <c r="B1057" s="637"/>
      <c r="C1057" s="637"/>
      <c r="D1057" s="637"/>
      <c r="E1057" s="637"/>
      <c r="F1057" s="637"/>
      <c r="G1057" s="637"/>
      <c r="H1057" s="637"/>
      <c r="I1057" s="637"/>
      <c r="J1057" s="637"/>
    </row>
    <row r="1058" spans="1:10" x14ac:dyDescent="0.2">
      <c r="A1058" s="626"/>
      <c r="B1058" s="637"/>
      <c r="C1058" s="637"/>
      <c r="D1058" s="637"/>
      <c r="E1058" s="637"/>
      <c r="F1058" s="637"/>
      <c r="G1058" s="637"/>
      <c r="H1058" s="637"/>
      <c r="I1058" s="637"/>
      <c r="J1058" s="637"/>
    </row>
    <row r="1059" spans="1:10" x14ac:dyDescent="0.2">
      <c r="A1059" s="626"/>
      <c r="B1059" s="637"/>
      <c r="C1059" s="637"/>
      <c r="D1059" s="637"/>
      <c r="E1059" s="637"/>
      <c r="F1059" s="637"/>
      <c r="G1059" s="637"/>
      <c r="H1059" s="637"/>
      <c r="I1059" s="637"/>
      <c r="J1059" s="637"/>
    </row>
    <row r="1060" spans="1:10" x14ac:dyDescent="0.2">
      <c r="A1060" s="626"/>
      <c r="B1060" s="637"/>
      <c r="C1060" s="637"/>
      <c r="D1060" s="637"/>
      <c r="E1060" s="637"/>
      <c r="F1060" s="637"/>
      <c r="G1060" s="637"/>
      <c r="H1060" s="637"/>
      <c r="I1060" s="637"/>
      <c r="J1060" s="637"/>
    </row>
    <row r="1061" spans="1:10" x14ac:dyDescent="0.2">
      <c r="A1061" s="626"/>
      <c r="B1061" s="637"/>
      <c r="C1061" s="637"/>
      <c r="D1061" s="637"/>
      <c r="E1061" s="637"/>
      <c r="F1061" s="637"/>
      <c r="G1061" s="637"/>
      <c r="H1061" s="637"/>
      <c r="I1061" s="637"/>
      <c r="J1061" s="637"/>
    </row>
    <row r="1062" spans="1:10" x14ac:dyDescent="0.2">
      <c r="A1062" s="626"/>
      <c r="B1062" s="637"/>
      <c r="C1062" s="637"/>
      <c r="D1062" s="637"/>
      <c r="E1062" s="637"/>
      <c r="F1062" s="637"/>
      <c r="G1062" s="637"/>
      <c r="H1062" s="637"/>
      <c r="I1062" s="637"/>
      <c r="J1062" s="637"/>
    </row>
    <row r="1063" spans="1:10" x14ac:dyDescent="0.2">
      <c r="A1063" s="626"/>
      <c r="B1063" s="637"/>
      <c r="C1063" s="637"/>
      <c r="D1063" s="637"/>
      <c r="E1063" s="637"/>
      <c r="F1063" s="637"/>
      <c r="G1063" s="637"/>
      <c r="H1063" s="637"/>
      <c r="I1063" s="637"/>
      <c r="J1063" s="637"/>
    </row>
    <row r="1064" spans="1:10" x14ac:dyDescent="0.2">
      <c r="A1064" s="626"/>
      <c r="B1064" s="637"/>
      <c r="C1064" s="637"/>
      <c r="D1064" s="637"/>
      <c r="E1064" s="637"/>
      <c r="F1064" s="637"/>
      <c r="G1064" s="637"/>
      <c r="H1064" s="637"/>
      <c r="I1064" s="637"/>
      <c r="J1064" s="637"/>
    </row>
    <row r="1065" spans="1:10" x14ac:dyDescent="0.2">
      <c r="A1065" s="626"/>
      <c r="B1065" s="637"/>
      <c r="C1065" s="637"/>
      <c r="D1065" s="637"/>
      <c r="E1065" s="637"/>
      <c r="F1065" s="637"/>
      <c r="G1065" s="637"/>
      <c r="H1065" s="637"/>
      <c r="I1065" s="637"/>
      <c r="J1065" s="637"/>
    </row>
    <row r="1066" spans="1:10" x14ac:dyDescent="0.2">
      <c r="A1066" s="626"/>
      <c r="B1066" s="637"/>
      <c r="C1066" s="637"/>
      <c r="D1066" s="637"/>
      <c r="E1066" s="637"/>
      <c r="F1066" s="637"/>
      <c r="G1066" s="637"/>
      <c r="H1066" s="637"/>
      <c r="I1066" s="637"/>
      <c r="J1066" s="637"/>
    </row>
    <row r="1067" spans="1:10" x14ac:dyDescent="0.2">
      <c r="A1067" s="626"/>
      <c r="B1067" s="637"/>
      <c r="C1067" s="637"/>
      <c r="D1067" s="637"/>
      <c r="E1067" s="637"/>
      <c r="F1067" s="637"/>
      <c r="G1067" s="637"/>
      <c r="H1067" s="637"/>
      <c r="I1067" s="637"/>
      <c r="J1067" s="637"/>
    </row>
    <row r="1068" spans="1:10" x14ac:dyDescent="0.2">
      <c r="A1068" s="626"/>
      <c r="B1068" s="637"/>
      <c r="C1068" s="637"/>
      <c r="D1068" s="637"/>
      <c r="E1068" s="637"/>
      <c r="F1068" s="637"/>
      <c r="G1068" s="637"/>
      <c r="H1068" s="637"/>
      <c r="I1068" s="637"/>
      <c r="J1068" s="637"/>
    </row>
    <row r="1069" spans="1:10" x14ac:dyDescent="0.2">
      <c r="A1069" s="626"/>
      <c r="B1069" s="637"/>
      <c r="C1069" s="637"/>
      <c r="D1069" s="637"/>
      <c r="E1069" s="637"/>
      <c r="F1069" s="637"/>
      <c r="G1069" s="637"/>
      <c r="H1069" s="637"/>
      <c r="I1069" s="637"/>
      <c r="J1069" s="637"/>
    </row>
    <row r="1070" spans="1:10" x14ac:dyDescent="0.2">
      <c r="A1070" s="626"/>
      <c r="B1070" s="637"/>
      <c r="C1070" s="637"/>
      <c r="D1070" s="637"/>
      <c r="E1070" s="637"/>
      <c r="F1070" s="637"/>
      <c r="G1070" s="637"/>
      <c r="H1070" s="637"/>
      <c r="I1070" s="637"/>
      <c r="J1070" s="637"/>
    </row>
    <row r="1071" spans="1:10" x14ac:dyDescent="0.2">
      <c r="A1071" s="626"/>
      <c r="B1071" s="637"/>
      <c r="C1071" s="637"/>
      <c r="D1071" s="637"/>
      <c r="E1071" s="637"/>
      <c r="F1071" s="637"/>
      <c r="G1071" s="637"/>
      <c r="H1071" s="637"/>
      <c r="I1071" s="637"/>
      <c r="J1071" s="637"/>
    </row>
    <row r="1072" spans="1:10" x14ac:dyDescent="0.2">
      <c r="A1072" s="626"/>
      <c r="B1072" s="637"/>
      <c r="C1072" s="637"/>
      <c r="D1072" s="637"/>
      <c r="E1072" s="637"/>
      <c r="F1072" s="637"/>
      <c r="G1072" s="637"/>
      <c r="H1072" s="637"/>
      <c r="I1072" s="637"/>
      <c r="J1072" s="637"/>
    </row>
    <row r="1073" spans="1:10" x14ac:dyDescent="0.2">
      <c r="A1073" s="626"/>
      <c r="B1073" s="637"/>
      <c r="C1073" s="637"/>
      <c r="D1073" s="637"/>
      <c r="E1073" s="637"/>
      <c r="F1073" s="637"/>
      <c r="G1073" s="637"/>
      <c r="H1073" s="637"/>
      <c r="I1073" s="637"/>
      <c r="J1073" s="637"/>
    </row>
    <row r="1074" spans="1:10" x14ac:dyDescent="0.2">
      <c r="A1074" s="626"/>
      <c r="B1074" s="637"/>
      <c r="C1074" s="637"/>
      <c r="D1074" s="637"/>
      <c r="E1074" s="637"/>
      <c r="F1074" s="637"/>
      <c r="G1074" s="637"/>
      <c r="H1074" s="637"/>
      <c r="I1074" s="637"/>
      <c r="J1074" s="637"/>
    </row>
    <row r="1075" spans="1:10" x14ac:dyDescent="0.2">
      <c r="A1075" s="626"/>
      <c r="B1075" s="637"/>
      <c r="C1075" s="637"/>
      <c r="D1075" s="637"/>
      <c r="E1075" s="637"/>
      <c r="F1075" s="637"/>
      <c r="G1075" s="637"/>
      <c r="H1075" s="637"/>
      <c r="I1075" s="637"/>
      <c r="J1075" s="637"/>
    </row>
    <row r="1076" spans="1:10" x14ac:dyDescent="0.2">
      <c r="A1076" s="626"/>
      <c r="B1076" s="637"/>
      <c r="C1076" s="637"/>
      <c r="D1076" s="637"/>
      <c r="E1076" s="637"/>
      <c r="F1076" s="637"/>
      <c r="G1076" s="637"/>
      <c r="H1076" s="637"/>
      <c r="I1076" s="637"/>
      <c r="J1076" s="637"/>
    </row>
    <row r="1077" spans="1:10" x14ac:dyDescent="0.2">
      <c r="A1077" s="626"/>
      <c r="B1077" s="637"/>
      <c r="C1077" s="637"/>
      <c r="D1077" s="637"/>
      <c r="E1077" s="637"/>
      <c r="F1077" s="637"/>
      <c r="G1077" s="637"/>
      <c r="H1077" s="637"/>
      <c r="I1077" s="637"/>
      <c r="J1077" s="637"/>
    </row>
    <row r="1078" spans="1:10" x14ac:dyDescent="0.2">
      <c r="A1078" s="626"/>
      <c r="B1078" s="637"/>
      <c r="C1078" s="637"/>
      <c r="D1078" s="637"/>
      <c r="E1078" s="637"/>
      <c r="F1078" s="637"/>
      <c r="G1078" s="637"/>
      <c r="H1078" s="637"/>
      <c r="I1078" s="637"/>
      <c r="J1078" s="637"/>
    </row>
    <row r="1079" spans="1:10" x14ac:dyDescent="0.2">
      <c r="A1079" s="626"/>
      <c r="B1079" s="637"/>
      <c r="C1079" s="637"/>
      <c r="D1079" s="637"/>
      <c r="E1079" s="637"/>
      <c r="F1079" s="637"/>
      <c r="G1079" s="637"/>
      <c r="H1079" s="637"/>
      <c r="I1079" s="637"/>
      <c r="J1079" s="637"/>
    </row>
    <row r="1080" spans="1:10" x14ac:dyDescent="0.2">
      <c r="A1080" s="626"/>
      <c r="B1080" s="637"/>
      <c r="C1080" s="637"/>
      <c r="D1080" s="637"/>
      <c r="E1080" s="637"/>
      <c r="F1080" s="637"/>
      <c r="G1080" s="637"/>
      <c r="H1080" s="637"/>
      <c r="I1080" s="637"/>
      <c r="J1080" s="637"/>
    </row>
    <row r="1081" spans="1:10" x14ac:dyDescent="0.2">
      <c r="A1081" s="626"/>
      <c r="B1081" s="637"/>
      <c r="C1081" s="637"/>
      <c r="D1081" s="637"/>
      <c r="E1081" s="637"/>
      <c r="F1081" s="637"/>
      <c r="G1081" s="637"/>
      <c r="H1081" s="637"/>
      <c r="I1081" s="637"/>
      <c r="J1081" s="637"/>
    </row>
    <row r="1082" spans="1:10" x14ac:dyDescent="0.2">
      <c r="A1082" s="626"/>
      <c r="B1082" s="637"/>
      <c r="C1082" s="637"/>
      <c r="D1082" s="637"/>
      <c r="E1082" s="637"/>
      <c r="F1082" s="637"/>
      <c r="G1082" s="637"/>
      <c r="H1082" s="637"/>
      <c r="I1082" s="637"/>
      <c r="J1082" s="637"/>
    </row>
    <row r="1083" spans="1:10" x14ac:dyDescent="0.2">
      <c r="A1083" s="626"/>
      <c r="B1083" s="637"/>
      <c r="C1083" s="637"/>
      <c r="D1083" s="637"/>
      <c r="E1083" s="637"/>
      <c r="F1083" s="637"/>
      <c r="G1083" s="637"/>
      <c r="H1083" s="637"/>
      <c r="I1083" s="637"/>
      <c r="J1083" s="637"/>
    </row>
    <row r="1084" spans="1:10" x14ac:dyDescent="0.2">
      <c r="A1084" s="626"/>
      <c r="B1084" s="637"/>
      <c r="C1084" s="637"/>
      <c r="D1084" s="637"/>
      <c r="E1084" s="637"/>
      <c r="F1084" s="637"/>
      <c r="G1084" s="637"/>
      <c r="H1084" s="637"/>
      <c r="I1084" s="637"/>
      <c r="J1084" s="637"/>
    </row>
    <row r="1085" spans="1:10" x14ac:dyDescent="0.2">
      <c r="A1085" s="626"/>
      <c r="B1085" s="637"/>
      <c r="C1085" s="637"/>
      <c r="D1085" s="637"/>
      <c r="E1085" s="637"/>
      <c r="F1085" s="637"/>
      <c r="G1085" s="637"/>
      <c r="H1085" s="637"/>
      <c r="I1085" s="637"/>
      <c r="J1085" s="637"/>
    </row>
    <row r="1086" spans="1:10" x14ac:dyDescent="0.2">
      <c r="A1086" s="626"/>
      <c r="B1086" s="637"/>
      <c r="C1086" s="637"/>
      <c r="D1086" s="637"/>
      <c r="E1086" s="637"/>
      <c r="F1086" s="637"/>
      <c r="G1086" s="637"/>
      <c r="H1086" s="637"/>
      <c r="I1086" s="637"/>
      <c r="J1086" s="637"/>
    </row>
    <row r="1087" spans="1:10" x14ac:dyDescent="0.2">
      <c r="A1087" s="626"/>
      <c r="B1087" s="637"/>
      <c r="C1087" s="637"/>
      <c r="D1087" s="637"/>
      <c r="E1087" s="637"/>
      <c r="F1087" s="637"/>
      <c r="G1087" s="637"/>
      <c r="H1087" s="637"/>
      <c r="I1087" s="637"/>
      <c r="J1087" s="637"/>
    </row>
    <row r="1088" spans="1:10" x14ac:dyDescent="0.2">
      <c r="A1088" s="626"/>
      <c r="B1088" s="637"/>
      <c r="C1088" s="637"/>
      <c r="D1088" s="637"/>
      <c r="E1088" s="637"/>
      <c r="F1088" s="637"/>
      <c r="G1088" s="637"/>
      <c r="H1088" s="637"/>
      <c r="I1088" s="637"/>
      <c r="J1088" s="637"/>
    </row>
    <row r="1089" spans="1:10" x14ac:dyDescent="0.2">
      <c r="A1089" s="626"/>
      <c r="B1089" s="637"/>
      <c r="C1089" s="637"/>
      <c r="D1089" s="637"/>
      <c r="E1089" s="637"/>
      <c r="F1089" s="637"/>
      <c r="G1089" s="637"/>
      <c r="H1089" s="637"/>
      <c r="I1089" s="637"/>
      <c r="J1089" s="637"/>
    </row>
    <row r="1090" spans="1:10" x14ac:dyDescent="0.2">
      <c r="A1090" s="626"/>
      <c r="B1090" s="637"/>
      <c r="C1090" s="637"/>
      <c r="D1090" s="637"/>
      <c r="E1090" s="637"/>
      <c r="F1090" s="637"/>
      <c r="G1090" s="637"/>
      <c r="H1090" s="637"/>
      <c r="I1090" s="637"/>
      <c r="J1090" s="637"/>
    </row>
    <row r="1091" spans="1:10" x14ac:dyDescent="0.2">
      <c r="A1091" s="626"/>
      <c r="B1091" s="637"/>
      <c r="C1091" s="637"/>
      <c r="D1091" s="637"/>
      <c r="E1091" s="637"/>
      <c r="F1091" s="637"/>
      <c r="G1091" s="637"/>
      <c r="H1091" s="637"/>
      <c r="I1091" s="637"/>
      <c r="J1091" s="637"/>
    </row>
    <row r="1092" spans="1:10" x14ac:dyDescent="0.2">
      <c r="A1092" s="626"/>
      <c r="B1092" s="637"/>
      <c r="C1092" s="637"/>
      <c r="D1092" s="637"/>
      <c r="E1092" s="637"/>
      <c r="F1092" s="637"/>
      <c r="G1092" s="637"/>
      <c r="H1092" s="637"/>
      <c r="I1092" s="637"/>
      <c r="J1092" s="637"/>
    </row>
    <row r="1093" spans="1:10" x14ac:dyDescent="0.2">
      <c r="A1093" s="626"/>
      <c r="B1093" s="637"/>
      <c r="C1093" s="637"/>
      <c r="D1093" s="637"/>
      <c r="E1093" s="637"/>
      <c r="F1093" s="637"/>
      <c r="G1093" s="637"/>
      <c r="H1093" s="637"/>
      <c r="I1093" s="637"/>
      <c r="J1093" s="637"/>
    </row>
    <row r="1094" spans="1:10" x14ac:dyDescent="0.2">
      <c r="A1094" s="626"/>
      <c r="B1094" s="637"/>
      <c r="C1094" s="637"/>
      <c r="D1094" s="637"/>
      <c r="E1094" s="637"/>
      <c r="F1094" s="637"/>
      <c r="G1094" s="637"/>
      <c r="H1094" s="637"/>
      <c r="I1094" s="637"/>
      <c r="J1094" s="637"/>
    </row>
    <row r="1095" spans="1:10" x14ac:dyDescent="0.2">
      <c r="A1095" s="626"/>
      <c r="B1095" s="637"/>
      <c r="C1095" s="637"/>
      <c r="D1095" s="637"/>
      <c r="E1095" s="637"/>
      <c r="F1095" s="637"/>
      <c r="G1095" s="637"/>
      <c r="H1095" s="637"/>
      <c r="I1095" s="637"/>
      <c r="J1095" s="637"/>
    </row>
    <row r="1096" spans="1:10" x14ac:dyDescent="0.2">
      <c r="A1096" s="626"/>
      <c r="B1096" s="637"/>
      <c r="C1096" s="637"/>
      <c r="D1096" s="637"/>
      <c r="E1096" s="637"/>
      <c r="F1096" s="637"/>
      <c r="G1096" s="637"/>
      <c r="H1096" s="637"/>
      <c r="I1096" s="637"/>
      <c r="J1096" s="637"/>
    </row>
    <row r="1097" spans="1:10" x14ac:dyDescent="0.2">
      <c r="A1097" s="626"/>
      <c r="B1097" s="637"/>
      <c r="C1097" s="637"/>
      <c r="D1097" s="637"/>
      <c r="E1097" s="637"/>
      <c r="F1097" s="637"/>
      <c r="G1097" s="637"/>
      <c r="H1097" s="637"/>
      <c r="I1097" s="637"/>
      <c r="J1097" s="637"/>
    </row>
    <row r="1098" spans="1:10" x14ac:dyDescent="0.2">
      <c r="A1098" s="626"/>
      <c r="B1098" s="637"/>
      <c r="C1098" s="637"/>
      <c r="D1098" s="637"/>
      <c r="E1098" s="637"/>
      <c r="F1098" s="637"/>
      <c r="G1098" s="637"/>
      <c r="H1098" s="637"/>
      <c r="I1098" s="637"/>
      <c r="J1098" s="637"/>
    </row>
    <row r="1099" spans="1:10" x14ac:dyDescent="0.2">
      <c r="A1099" s="626"/>
      <c r="B1099" s="637"/>
      <c r="C1099" s="637"/>
      <c r="D1099" s="637"/>
      <c r="E1099" s="637"/>
      <c r="F1099" s="637"/>
      <c r="G1099" s="637"/>
      <c r="H1099" s="637"/>
      <c r="I1099" s="637"/>
      <c r="J1099" s="637"/>
    </row>
    <row r="1100" spans="1:10" x14ac:dyDescent="0.2">
      <c r="A1100" s="626"/>
      <c r="B1100" s="637"/>
      <c r="C1100" s="637"/>
      <c r="D1100" s="637"/>
      <c r="E1100" s="637"/>
      <c r="F1100" s="637"/>
      <c r="G1100" s="637"/>
      <c r="H1100" s="637"/>
      <c r="I1100" s="637"/>
      <c r="J1100" s="637"/>
    </row>
    <row r="1101" spans="1:10" x14ac:dyDescent="0.2">
      <c r="A1101" s="626"/>
      <c r="B1101" s="637"/>
      <c r="C1101" s="637"/>
      <c r="D1101" s="637"/>
      <c r="E1101" s="637"/>
      <c r="F1101" s="637"/>
      <c r="G1101" s="637"/>
      <c r="H1101" s="637"/>
      <c r="I1101" s="637"/>
      <c r="J1101" s="637"/>
    </row>
    <row r="1102" spans="1:10" x14ac:dyDescent="0.2">
      <c r="A1102" s="626"/>
      <c r="B1102" s="637"/>
      <c r="C1102" s="637"/>
      <c r="D1102" s="637"/>
      <c r="E1102" s="637"/>
      <c r="F1102" s="637"/>
      <c r="G1102" s="637"/>
      <c r="H1102" s="637"/>
      <c r="I1102" s="637"/>
      <c r="J1102" s="637"/>
    </row>
    <row r="1103" spans="1:10" x14ac:dyDescent="0.2">
      <c r="A1103" s="626"/>
      <c r="B1103" s="637"/>
      <c r="C1103" s="637"/>
      <c r="D1103" s="637"/>
      <c r="E1103" s="637"/>
      <c r="F1103" s="637"/>
      <c r="G1103" s="637"/>
      <c r="H1103" s="637"/>
      <c r="I1103" s="637"/>
      <c r="J1103" s="637"/>
    </row>
    <row r="1104" spans="1:10" x14ac:dyDescent="0.2">
      <c r="A1104" s="626"/>
      <c r="B1104" s="637"/>
      <c r="C1104" s="637"/>
      <c r="D1104" s="637"/>
      <c r="E1104" s="637"/>
      <c r="F1104" s="637"/>
      <c r="G1104" s="637"/>
      <c r="H1104" s="637"/>
      <c r="I1104" s="637"/>
      <c r="J1104" s="637"/>
    </row>
    <row r="1105" spans="1:10" x14ac:dyDescent="0.2">
      <c r="A1105" s="626"/>
      <c r="B1105" s="637"/>
      <c r="C1105" s="637"/>
      <c r="D1105" s="637"/>
      <c r="E1105" s="637"/>
      <c r="F1105" s="637"/>
      <c r="G1105" s="637"/>
      <c r="H1105" s="637"/>
      <c r="I1105" s="637"/>
      <c r="J1105" s="637"/>
    </row>
    <row r="1106" spans="1:10" x14ac:dyDescent="0.2">
      <c r="A1106" s="626"/>
      <c r="B1106" s="637"/>
      <c r="C1106" s="637"/>
      <c r="D1106" s="637"/>
      <c r="E1106" s="637"/>
      <c r="F1106" s="637"/>
      <c r="G1106" s="637"/>
      <c r="H1106" s="637"/>
      <c r="I1106" s="637"/>
      <c r="J1106" s="637"/>
    </row>
    <row r="1107" spans="1:10" x14ac:dyDescent="0.2">
      <c r="A1107" s="626"/>
      <c r="B1107" s="637"/>
      <c r="C1107" s="637"/>
      <c r="D1107" s="637"/>
      <c r="E1107" s="637"/>
      <c r="F1107" s="637"/>
      <c r="G1107" s="637"/>
      <c r="H1107" s="637"/>
      <c r="I1107" s="637"/>
      <c r="J1107" s="637"/>
    </row>
    <row r="1108" spans="1:10" x14ac:dyDescent="0.2">
      <c r="A1108" s="626"/>
      <c r="B1108" s="637"/>
      <c r="C1108" s="637"/>
      <c r="D1108" s="637"/>
      <c r="E1108" s="637"/>
      <c r="F1108" s="637"/>
      <c r="G1108" s="637"/>
      <c r="H1108" s="637"/>
      <c r="I1108" s="637"/>
      <c r="J1108" s="637"/>
    </row>
    <row r="1109" spans="1:10" x14ac:dyDescent="0.2">
      <c r="A1109" s="626"/>
      <c r="B1109" s="637"/>
      <c r="C1109" s="637"/>
      <c r="D1109" s="637"/>
      <c r="E1109" s="637"/>
      <c r="F1109" s="637"/>
      <c r="G1109" s="637"/>
      <c r="H1109" s="637"/>
      <c r="I1109" s="637"/>
      <c r="J1109" s="637"/>
    </row>
    <row r="1110" spans="1:10" x14ac:dyDescent="0.2">
      <c r="A1110" s="626"/>
      <c r="B1110" s="637"/>
      <c r="C1110" s="637"/>
      <c r="D1110" s="637"/>
      <c r="E1110" s="637"/>
      <c r="F1110" s="637"/>
      <c r="G1110" s="637"/>
      <c r="H1110" s="637"/>
      <c r="I1110" s="637"/>
      <c r="J1110" s="637"/>
    </row>
    <row r="1111" spans="1:10" x14ac:dyDescent="0.2">
      <c r="A1111" s="626"/>
      <c r="B1111" s="637"/>
      <c r="C1111" s="637"/>
      <c r="D1111" s="637"/>
      <c r="E1111" s="637"/>
      <c r="F1111" s="637"/>
      <c r="G1111" s="637"/>
      <c r="H1111" s="637"/>
      <c r="I1111" s="637"/>
      <c r="J1111" s="637"/>
    </row>
    <row r="1112" spans="1:10" x14ac:dyDescent="0.2">
      <c r="A1112" s="626"/>
      <c r="B1112" s="637"/>
      <c r="C1112" s="637"/>
      <c r="D1112" s="637"/>
      <c r="E1112" s="637"/>
      <c r="F1112" s="637"/>
      <c r="G1112" s="637"/>
      <c r="H1112" s="637"/>
      <c r="I1112" s="637"/>
      <c r="J1112" s="637"/>
    </row>
    <row r="1113" spans="1:10" x14ac:dyDescent="0.2">
      <c r="A1113" s="626"/>
      <c r="B1113" s="637"/>
      <c r="C1113" s="637"/>
      <c r="D1113" s="637"/>
      <c r="E1113" s="637"/>
      <c r="F1113" s="637"/>
      <c r="G1113" s="637"/>
      <c r="H1113" s="637"/>
      <c r="I1113" s="637"/>
      <c r="J1113" s="637"/>
    </row>
    <row r="1114" spans="1:10" x14ac:dyDescent="0.2">
      <c r="A1114" s="626"/>
      <c r="B1114" s="637"/>
      <c r="C1114" s="637"/>
      <c r="D1114" s="637"/>
      <c r="E1114" s="637"/>
      <c r="F1114" s="637"/>
      <c r="G1114" s="637"/>
      <c r="H1114" s="637"/>
      <c r="I1114" s="637"/>
      <c r="J1114" s="637"/>
    </row>
    <row r="1115" spans="1:10" x14ac:dyDescent="0.2">
      <c r="A1115" s="626"/>
      <c r="B1115" s="637"/>
      <c r="C1115" s="637"/>
      <c r="D1115" s="637"/>
      <c r="E1115" s="637"/>
      <c r="F1115" s="637"/>
      <c r="G1115" s="637"/>
      <c r="H1115" s="637"/>
      <c r="I1115" s="637"/>
      <c r="J1115" s="637"/>
    </row>
    <row r="1116" spans="1:10" x14ac:dyDescent="0.2">
      <c r="A1116" s="626"/>
      <c r="B1116" s="637"/>
      <c r="C1116" s="637"/>
      <c r="D1116" s="637"/>
      <c r="E1116" s="637"/>
      <c r="F1116" s="637"/>
      <c r="G1116" s="637"/>
      <c r="H1116" s="637"/>
      <c r="I1116" s="637"/>
      <c r="J1116" s="637"/>
    </row>
    <row r="1117" spans="1:10" x14ac:dyDescent="0.2">
      <c r="A1117" s="626"/>
      <c r="B1117" s="637"/>
      <c r="C1117" s="637"/>
      <c r="D1117" s="637"/>
      <c r="E1117" s="637"/>
      <c r="F1117" s="637"/>
      <c r="G1117" s="637"/>
      <c r="H1117" s="637"/>
      <c r="I1117" s="637"/>
      <c r="J1117" s="637"/>
    </row>
    <row r="1118" spans="1:10" x14ac:dyDescent="0.2">
      <c r="A1118" s="626"/>
      <c r="B1118" s="637"/>
      <c r="C1118" s="637"/>
      <c r="D1118" s="637"/>
      <c r="E1118" s="637"/>
      <c r="F1118" s="637"/>
      <c r="G1118" s="637"/>
      <c r="H1118" s="637"/>
      <c r="I1118" s="637"/>
      <c r="J1118" s="637"/>
    </row>
    <row r="1119" spans="1:10" x14ac:dyDescent="0.2">
      <c r="A1119" s="626"/>
      <c r="B1119" s="637"/>
      <c r="C1119" s="637"/>
      <c r="D1119" s="637"/>
      <c r="E1119" s="637"/>
      <c r="F1119" s="637"/>
      <c r="G1119" s="637"/>
      <c r="H1119" s="637"/>
      <c r="I1119" s="637"/>
      <c r="J1119" s="637"/>
    </row>
    <row r="1120" spans="1:10" x14ac:dyDescent="0.2">
      <c r="A1120" s="626"/>
      <c r="B1120" s="637"/>
      <c r="C1120" s="637"/>
      <c r="D1120" s="637"/>
      <c r="E1120" s="637"/>
      <c r="F1120" s="637"/>
      <c r="G1120" s="637"/>
      <c r="H1120" s="637"/>
      <c r="I1120" s="637"/>
      <c r="J1120" s="637"/>
    </row>
    <row r="1121" spans="1:10" x14ac:dyDescent="0.2">
      <c r="A1121" s="626"/>
      <c r="B1121" s="637"/>
      <c r="C1121" s="637"/>
      <c r="D1121" s="637"/>
      <c r="E1121" s="637"/>
      <c r="F1121" s="637"/>
      <c r="G1121" s="637"/>
      <c r="H1121" s="637"/>
      <c r="I1121" s="637"/>
      <c r="J1121" s="637"/>
    </row>
    <row r="1122" spans="1:10" x14ac:dyDescent="0.2">
      <c r="A1122" s="626"/>
      <c r="B1122" s="637"/>
      <c r="C1122" s="637"/>
      <c r="D1122" s="637"/>
      <c r="E1122" s="637"/>
      <c r="F1122" s="637"/>
      <c r="G1122" s="637"/>
      <c r="H1122" s="637"/>
      <c r="I1122" s="637"/>
      <c r="J1122" s="637"/>
    </row>
    <row r="1123" spans="1:10" x14ac:dyDescent="0.2">
      <c r="A1123" s="626"/>
      <c r="B1123" s="637"/>
      <c r="C1123" s="637"/>
      <c r="D1123" s="637"/>
      <c r="E1123" s="637"/>
      <c r="F1123" s="637"/>
      <c r="G1123" s="637"/>
      <c r="H1123" s="637"/>
      <c r="I1123" s="637"/>
      <c r="J1123" s="637"/>
    </row>
    <row r="1124" spans="1:10" x14ac:dyDescent="0.2">
      <c r="A1124" s="626"/>
      <c r="B1124" s="637"/>
      <c r="C1124" s="637"/>
      <c r="D1124" s="637"/>
      <c r="E1124" s="637"/>
      <c r="F1124" s="637"/>
      <c r="G1124" s="637"/>
      <c r="H1124" s="637"/>
      <c r="I1124" s="637"/>
      <c r="J1124" s="637"/>
    </row>
    <row r="1125" spans="1:10" x14ac:dyDescent="0.2">
      <c r="A1125" s="626"/>
      <c r="B1125" s="637"/>
      <c r="C1125" s="637"/>
      <c r="D1125" s="637"/>
      <c r="E1125" s="637"/>
      <c r="F1125" s="637"/>
      <c r="G1125" s="637"/>
      <c r="H1125" s="637"/>
      <c r="I1125" s="637"/>
      <c r="J1125" s="637"/>
    </row>
    <row r="1126" spans="1:10" x14ac:dyDescent="0.2">
      <c r="A1126" s="626"/>
      <c r="B1126" s="637"/>
      <c r="C1126" s="637"/>
      <c r="D1126" s="637"/>
      <c r="E1126" s="637"/>
      <c r="F1126" s="637"/>
      <c r="G1126" s="637"/>
      <c r="H1126" s="637"/>
      <c r="I1126" s="637"/>
      <c r="J1126" s="637"/>
    </row>
    <row r="1127" spans="1:10" x14ac:dyDescent="0.2">
      <c r="A1127" s="626"/>
      <c r="B1127" s="637"/>
      <c r="C1127" s="637"/>
      <c r="D1127" s="637"/>
      <c r="E1127" s="637"/>
      <c r="F1127" s="637"/>
      <c r="G1127" s="637"/>
      <c r="H1127" s="637"/>
      <c r="I1127" s="637"/>
      <c r="J1127" s="637"/>
    </row>
    <row r="1128" spans="1:10" x14ac:dyDescent="0.2">
      <c r="A1128" s="626"/>
      <c r="B1128" s="637"/>
      <c r="C1128" s="637"/>
      <c r="D1128" s="637"/>
      <c r="E1128" s="637"/>
      <c r="F1128" s="637"/>
      <c r="G1128" s="637"/>
      <c r="H1128" s="637"/>
      <c r="I1128" s="637"/>
      <c r="J1128" s="637"/>
    </row>
    <row r="1129" spans="1:10" x14ac:dyDescent="0.2">
      <c r="A1129" s="626"/>
      <c r="B1129" s="637"/>
      <c r="C1129" s="637"/>
      <c r="D1129" s="637"/>
      <c r="E1129" s="637"/>
      <c r="F1129" s="637"/>
      <c r="G1129" s="637"/>
      <c r="H1129" s="637"/>
      <c r="I1129" s="637"/>
      <c r="J1129" s="637"/>
    </row>
    <row r="1130" spans="1:10" x14ac:dyDescent="0.2">
      <c r="A1130" s="626"/>
      <c r="B1130" s="637"/>
      <c r="C1130" s="637"/>
      <c r="D1130" s="637"/>
      <c r="E1130" s="637"/>
      <c r="F1130" s="637"/>
      <c r="G1130" s="637"/>
      <c r="H1130" s="637"/>
      <c r="I1130" s="637"/>
      <c r="J1130" s="637"/>
    </row>
    <row r="1131" spans="1:10" x14ac:dyDescent="0.2">
      <c r="A1131" s="626"/>
      <c r="B1131" s="637"/>
      <c r="C1131" s="637"/>
      <c r="D1131" s="637"/>
      <c r="E1131" s="637"/>
      <c r="F1131" s="637"/>
      <c r="G1131" s="637"/>
      <c r="H1131" s="637"/>
      <c r="I1131" s="637"/>
      <c r="J1131" s="637"/>
    </row>
    <row r="1132" spans="1:10" x14ac:dyDescent="0.2">
      <c r="A1132" s="626"/>
      <c r="B1132" s="637"/>
      <c r="C1132" s="637"/>
      <c r="D1132" s="637"/>
      <c r="E1132" s="637"/>
      <c r="F1132" s="637"/>
      <c r="G1132" s="637"/>
      <c r="H1132" s="637"/>
      <c r="I1132" s="637"/>
      <c r="J1132" s="637"/>
    </row>
    <row r="1133" spans="1:10" x14ac:dyDescent="0.2">
      <c r="A1133" s="626"/>
      <c r="B1133" s="637"/>
      <c r="C1133" s="637"/>
      <c r="D1133" s="637"/>
      <c r="E1133" s="637"/>
      <c r="F1133" s="637"/>
      <c r="G1133" s="637"/>
      <c r="H1133" s="637"/>
      <c r="I1133" s="637"/>
      <c r="J1133" s="637"/>
    </row>
    <row r="1134" spans="1:10" x14ac:dyDescent="0.2">
      <c r="A1134" s="626"/>
      <c r="B1134" s="637"/>
      <c r="C1134" s="637"/>
      <c r="D1134" s="637"/>
      <c r="E1134" s="637"/>
      <c r="F1134" s="637"/>
      <c r="G1134" s="637"/>
      <c r="H1134" s="637"/>
      <c r="I1134" s="637"/>
      <c r="J1134" s="637"/>
    </row>
    <row r="1135" spans="1:10" x14ac:dyDescent="0.2">
      <c r="A1135" s="626"/>
      <c r="B1135" s="637"/>
      <c r="C1135" s="637"/>
      <c r="D1135" s="637"/>
      <c r="E1135" s="637"/>
      <c r="F1135" s="637"/>
      <c r="G1135" s="637"/>
      <c r="H1135" s="637"/>
      <c r="I1135" s="637"/>
      <c r="J1135" s="637"/>
    </row>
    <row r="1136" spans="1:10" x14ac:dyDescent="0.2">
      <c r="A1136" s="626"/>
      <c r="B1136" s="637"/>
      <c r="C1136" s="637"/>
      <c r="D1136" s="637"/>
      <c r="E1136" s="637"/>
      <c r="F1136" s="637"/>
      <c r="G1136" s="637"/>
      <c r="H1136" s="637"/>
      <c r="I1136" s="637"/>
      <c r="J1136" s="637"/>
    </row>
    <row r="1137" spans="1:10" x14ac:dyDescent="0.2">
      <c r="A1137" s="626"/>
      <c r="B1137" s="637"/>
      <c r="C1137" s="637"/>
      <c r="D1137" s="637"/>
      <c r="E1137" s="637"/>
      <c r="F1137" s="637"/>
      <c r="G1137" s="637"/>
      <c r="H1137" s="637"/>
      <c r="I1137" s="637"/>
      <c r="J1137" s="637"/>
    </row>
    <row r="1138" spans="1:10" x14ac:dyDescent="0.2">
      <c r="A1138" s="626"/>
      <c r="B1138" s="637"/>
      <c r="C1138" s="637"/>
      <c r="D1138" s="637"/>
      <c r="E1138" s="637"/>
      <c r="F1138" s="637"/>
      <c r="G1138" s="637"/>
      <c r="H1138" s="637"/>
      <c r="I1138" s="637"/>
      <c r="J1138" s="637"/>
    </row>
    <row r="1139" spans="1:10" x14ac:dyDescent="0.2">
      <c r="A1139" s="626"/>
      <c r="B1139" s="637"/>
      <c r="C1139" s="637"/>
      <c r="D1139" s="637"/>
      <c r="E1139" s="637"/>
      <c r="F1139" s="637"/>
      <c r="G1139" s="637"/>
      <c r="H1139" s="637"/>
      <c r="I1139" s="637"/>
      <c r="J1139" s="637"/>
    </row>
    <row r="1140" spans="1:10" x14ac:dyDescent="0.2">
      <c r="A1140" s="626"/>
      <c r="B1140" s="637"/>
      <c r="C1140" s="637"/>
      <c r="D1140" s="637"/>
      <c r="E1140" s="637"/>
      <c r="F1140" s="637"/>
      <c r="G1140" s="637"/>
      <c r="H1140" s="637"/>
      <c r="I1140" s="637"/>
      <c r="J1140" s="637"/>
    </row>
    <row r="1141" spans="1:10" x14ac:dyDescent="0.2">
      <c r="A1141" s="626"/>
      <c r="B1141" s="637"/>
      <c r="C1141" s="637"/>
      <c r="D1141" s="637"/>
      <c r="E1141" s="637"/>
      <c r="F1141" s="637"/>
      <c r="G1141" s="637"/>
      <c r="H1141" s="637"/>
      <c r="I1141" s="637"/>
      <c r="J1141" s="637"/>
    </row>
    <row r="1142" spans="1:10" x14ac:dyDescent="0.2">
      <c r="A1142" s="626"/>
      <c r="B1142" s="637"/>
      <c r="C1142" s="637"/>
      <c r="D1142" s="637"/>
      <c r="E1142" s="637"/>
      <c r="F1142" s="637"/>
      <c r="G1142" s="637"/>
      <c r="H1142" s="637"/>
      <c r="I1142" s="637"/>
      <c r="J1142" s="637"/>
    </row>
    <row r="1143" spans="1:10" x14ac:dyDescent="0.2">
      <c r="A1143" s="626"/>
      <c r="B1143" s="637"/>
      <c r="C1143" s="637"/>
      <c r="D1143" s="637"/>
      <c r="E1143" s="637"/>
      <c r="F1143" s="637"/>
      <c r="G1143" s="637"/>
      <c r="H1143" s="637"/>
      <c r="I1143" s="637"/>
      <c r="J1143" s="637"/>
    </row>
    <row r="1144" spans="1:10" x14ac:dyDescent="0.2">
      <c r="A1144" s="626"/>
      <c r="B1144" s="637"/>
      <c r="C1144" s="637"/>
      <c r="D1144" s="637"/>
      <c r="E1144" s="637"/>
      <c r="F1144" s="637"/>
      <c r="G1144" s="637"/>
      <c r="H1144" s="637"/>
      <c r="I1144" s="637"/>
      <c r="J1144" s="637"/>
    </row>
    <row r="1145" spans="1:10" x14ac:dyDescent="0.2">
      <c r="A1145" s="626"/>
      <c r="B1145" s="637"/>
      <c r="C1145" s="637"/>
      <c r="D1145" s="637"/>
      <c r="E1145" s="637"/>
      <c r="F1145" s="637"/>
      <c r="G1145" s="637"/>
      <c r="H1145" s="637"/>
      <c r="I1145" s="637"/>
      <c r="J1145" s="637"/>
    </row>
    <row r="1146" spans="1:10" x14ac:dyDescent="0.2">
      <c r="A1146" s="626"/>
      <c r="B1146" s="637"/>
      <c r="C1146" s="637"/>
      <c r="D1146" s="637"/>
      <c r="E1146" s="637"/>
      <c r="F1146" s="637"/>
      <c r="G1146" s="637"/>
      <c r="H1146" s="637"/>
      <c r="I1146" s="637"/>
      <c r="J1146" s="637"/>
    </row>
    <row r="1147" spans="1:10" x14ac:dyDescent="0.2">
      <c r="A1147" s="626"/>
      <c r="B1147" s="637"/>
      <c r="C1147" s="637"/>
      <c r="D1147" s="637"/>
      <c r="E1147" s="637"/>
      <c r="F1147" s="637"/>
      <c r="G1147" s="637"/>
      <c r="H1147" s="637"/>
      <c r="I1147" s="637"/>
      <c r="J1147" s="637"/>
    </row>
    <row r="1148" spans="1:10" x14ac:dyDescent="0.2">
      <c r="A1148" s="626"/>
      <c r="B1148" s="637"/>
      <c r="C1148" s="637"/>
      <c r="D1148" s="637"/>
      <c r="E1148" s="637"/>
      <c r="F1148" s="637"/>
      <c r="G1148" s="637"/>
      <c r="H1148" s="637"/>
      <c r="I1148" s="637"/>
      <c r="J1148" s="637"/>
    </row>
    <row r="1149" spans="1:10" x14ac:dyDescent="0.2">
      <c r="A1149" s="626"/>
      <c r="B1149" s="637"/>
      <c r="C1149" s="637"/>
      <c r="D1149" s="637"/>
      <c r="E1149" s="637"/>
      <c r="F1149" s="637"/>
      <c r="G1149" s="637"/>
      <c r="H1149" s="637"/>
      <c r="I1149" s="637"/>
      <c r="J1149" s="637"/>
    </row>
    <row r="1150" spans="1:10" x14ac:dyDescent="0.2">
      <c r="A1150" s="626"/>
      <c r="B1150" s="637"/>
      <c r="C1150" s="637"/>
      <c r="D1150" s="637"/>
      <c r="E1150" s="637"/>
      <c r="F1150" s="637"/>
      <c r="G1150" s="637"/>
      <c r="H1150" s="637"/>
      <c r="I1150" s="637"/>
      <c r="J1150" s="637"/>
    </row>
    <row r="1151" spans="1:10" x14ac:dyDescent="0.2">
      <c r="A1151" s="626"/>
      <c r="B1151" s="637"/>
      <c r="C1151" s="637"/>
      <c r="D1151" s="637"/>
      <c r="E1151" s="637"/>
      <c r="F1151" s="637"/>
      <c r="G1151" s="637"/>
      <c r="H1151" s="637"/>
      <c r="I1151" s="637"/>
      <c r="J1151" s="637"/>
    </row>
    <row r="1152" spans="1:10" x14ac:dyDescent="0.2">
      <c r="A1152" s="626"/>
      <c r="B1152" s="637"/>
      <c r="C1152" s="637"/>
      <c r="D1152" s="637"/>
      <c r="E1152" s="637"/>
      <c r="F1152" s="637"/>
      <c r="G1152" s="637"/>
      <c r="H1152" s="637"/>
      <c r="I1152" s="637"/>
      <c r="J1152" s="637"/>
    </row>
    <row r="1153" spans="1:10" x14ac:dyDescent="0.2">
      <c r="A1153" s="626"/>
      <c r="B1153" s="637"/>
      <c r="C1153" s="637"/>
      <c r="D1153" s="637"/>
      <c r="E1153" s="637"/>
      <c r="F1153" s="637"/>
      <c r="G1153" s="637"/>
      <c r="H1153" s="637"/>
      <c r="I1153" s="637"/>
      <c r="J1153" s="637"/>
    </row>
    <row r="1154" spans="1:10" x14ac:dyDescent="0.2">
      <c r="A1154" s="626"/>
      <c r="B1154" s="637"/>
      <c r="C1154" s="637"/>
      <c r="D1154" s="637"/>
      <c r="E1154" s="637"/>
      <c r="F1154" s="637"/>
      <c r="G1154" s="637"/>
      <c r="H1154" s="637"/>
      <c r="I1154" s="637"/>
      <c r="J1154" s="637"/>
    </row>
    <row r="1155" spans="1:10" x14ac:dyDescent="0.2">
      <c r="A1155" s="626"/>
      <c r="B1155" s="637"/>
      <c r="C1155" s="637"/>
      <c r="D1155" s="637"/>
      <c r="E1155" s="637"/>
      <c r="F1155" s="637"/>
      <c r="G1155" s="637"/>
      <c r="H1155" s="637"/>
      <c r="I1155" s="637"/>
      <c r="J1155" s="637"/>
    </row>
    <row r="1156" spans="1:10" x14ac:dyDescent="0.2">
      <c r="A1156" s="626"/>
      <c r="B1156" s="637"/>
      <c r="C1156" s="637"/>
      <c r="D1156" s="637"/>
      <c r="E1156" s="637"/>
      <c r="F1156" s="637"/>
      <c r="G1156" s="637"/>
      <c r="H1156" s="637"/>
      <c r="I1156" s="637"/>
      <c r="J1156" s="637"/>
    </row>
    <row r="1157" spans="1:10" x14ac:dyDescent="0.2">
      <c r="A1157" s="626"/>
      <c r="B1157" s="637"/>
      <c r="C1157" s="637"/>
      <c r="D1157" s="637"/>
      <c r="E1157" s="637"/>
      <c r="F1157" s="637"/>
      <c r="G1157" s="637"/>
      <c r="H1157" s="637"/>
      <c r="I1157" s="637"/>
      <c r="J1157" s="637"/>
    </row>
    <row r="1158" spans="1:10" x14ac:dyDescent="0.2">
      <c r="A1158" s="626"/>
      <c r="B1158" s="637"/>
      <c r="C1158" s="637"/>
      <c r="D1158" s="637"/>
      <c r="E1158" s="637"/>
      <c r="F1158" s="637"/>
      <c r="G1158" s="637"/>
      <c r="H1158" s="637"/>
      <c r="I1158" s="637"/>
      <c r="J1158" s="637"/>
    </row>
    <row r="1159" spans="1:10" x14ac:dyDescent="0.2">
      <c r="A1159" s="626"/>
      <c r="B1159" s="637"/>
      <c r="C1159" s="637"/>
      <c r="D1159" s="637"/>
      <c r="E1159" s="637"/>
      <c r="F1159" s="637"/>
      <c r="G1159" s="637"/>
      <c r="H1159" s="637"/>
      <c r="I1159" s="637"/>
      <c r="J1159" s="637"/>
    </row>
    <row r="1160" spans="1:10" x14ac:dyDescent="0.2">
      <c r="A1160" s="626"/>
      <c r="B1160" s="637"/>
      <c r="C1160" s="637"/>
      <c r="D1160" s="637"/>
      <c r="E1160" s="637"/>
      <c r="F1160" s="637"/>
      <c r="G1160" s="637"/>
      <c r="H1160" s="637"/>
      <c r="I1160" s="637"/>
      <c r="J1160" s="637"/>
    </row>
    <row r="1161" spans="1:10" x14ac:dyDescent="0.2">
      <c r="A1161" s="626"/>
      <c r="B1161" s="637"/>
      <c r="C1161" s="637"/>
      <c r="D1161" s="637"/>
      <c r="E1161" s="637"/>
      <c r="F1161" s="637"/>
      <c r="G1161" s="637"/>
      <c r="H1161" s="637"/>
      <c r="I1161" s="637"/>
      <c r="J1161" s="637"/>
    </row>
    <row r="1162" spans="1:10" x14ac:dyDescent="0.2">
      <c r="A1162" s="626"/>
      <c r="B1162" s="637"/>
      <c r="C1162" s="637"/>
      <c r="D1162" s="637"/>
      <c r="E1162" s="637"/>
      <c r="F1162" s="637"/>
      <c r="G1162" s="637"/>
      <c r="H1162" s="637"/>
      <c r="I1162" s="637"/>
      <c r="J1162" s="637"/>
    </row>
    <row r="1163" spans="1:10" x14ac:dyDescent="0.2">
      <c r="A1163" s="626"/>
      <c r="B1163" s="637"/>
      <c r="C1163" s="637"/>
      <c r="D1163" s="637"/>
      <c r="E1163" s="637"/>
      <c r="F1163" s="637"/>
      <c r="G1163" s="637"/>
      <c r="H1163" s="637"/>
      <c r="I1163" s="637"/>
      <c r="J1163" s="637"/>
    </row>
    <row r="1164" spans="1:10" x14ac:dyDescent="0.2">
      <c r="A1164" s="626"/>
      <c r="B1164" s="637"/>
      <c r="C1164" s="637"/>
      <c r="D1164" s="637"/>
      <c r="E1164" s="637"/>
      <c r="F1164" s="637"/>
      <c r="G1164" s="637"/>
      <c r="H1164" s="637"/>
      <c r="I1164" s="637"/>
      <c r="J1164" s="637"/>
    </row>
    <row r="1165" spans="1:10" x14ac:dyDescent="0.2">
      <c r="A1165" s="626"/>
      <c r="B1165" s="637"/>
      <c r="C1165" s="637"/>
      <c r="D1165" s="637"/>
      <c r="E1165" s="637"/>
      <c r="F1165" s="637"/>
      <c r="G1165" s="637"/>
      <c r="H1165" s="637"/>
      <c r="I1165" s="637"/>
      <c r="J1165" s="637"/>
    </row>
    <row r="1166" spans="1:10" x14ac:dyDescent="0.2">
      <c r="A1166" s="626"/>
      <c r="B1166" s="637"/>
      <c r="C1166" s="637"/>
      <c r="D1166" s="637"/>
      <c r="E1166" s="637"/>
      <c r="F1166" s="637"/>
      <c r="G1166" s="637"/>
      <c r="H1166" s="637"/>
      <c r="I1166" s="637"/>
      <c r="J1166" s="637"/>
    </row>
    <row r="1167" spans="1:10" x14ac:dyDescent="0.2">
      <c r="A1167" s="626"/>
      <c r="B1167" s="637"/>
      <c r="C1167" s="637"/>
      <c r="D1167" s="637"/>
      <c r="E1167" s="637"/>
      <c r="F1167" s="637"/>
      <c r="G1167" s="637"/>
      <c r="H1167" s="637"/>
      <c r="I1167" s="637"/>
      <c r="J1167" s="637"/>
    </row>
    <row r="1168" spans="1:10" x14ac:dyDescent="0.2">
      <c r="A1168" s="626"/>
      <c r="B1168" s="637"/>
      <c r="C1168" s="637"/>
      <c r="D1168" s="637"/>
      <c r="E1168" s="637"/>
      <c r="F1168" s="637"/>
      <c r="G1168" s="637"/>
      <c r="H1168" s="637"/>
      <c r="I1168" s="637"/>
      <c r="J1168" s="637"/>
    </row>
    <row r="1169" spans="1:10" x14ac:dyDescent="0.2">
      <c r="A1169" s="626"/>
      <c r="B1169" s="637"/>
      <c r="C1169" s="637"/>
      <c r="D1169" s="637"/>
      <c r="E1169" s="637"/>
      <c r="F1169" s="637"/>
      <c r="G1169" s="637"/>
      <c r="H1169" s="637"/>
      <c r="I1169" s="637"/>
      <c r="J1169" s="637"/>
    </row>
    <row r="1170" spans="1:10" x14ac:dyDescent="0.2">
      <c r="A1170" s="626"/>
      <c r="B1170" s="637"/>
      <c r="C1170" s="637"/>
      <c r="D1170" s="637"/>
      <c r="E1170" s="637"/>
      <c r="F1170" s="637"/>
      <c r="G1170" s="637"/>
      <c r="H1170" s="637"/>
      <c r="I1170" s="637"/>
      <c r="J1170" s="637"/>
    </row>
    <row r="1171" spans="1:10" x14ac:dyDescent="0.2">
      <c r="A1171" s="626"/>
      <c r="B1171" s="637"/>
      <c r="C1171" s="637"/>
      <c r="D1171" s="637"/>
      <c r="E1171" s="637"/>
      <c r="F1171" s="637"/>
      <c r="G1171" s="637"/>
      <c r="H1171" s="637"/>
      <c r="I1171" s="637"/>
      <c r="J1171" s="637"/>
    </row>
    <row r="1172" spans="1:10" x14ac:dyDescent="0.2">
      <c r="A1172" s="626"/>
      <c r="B1172" s="637"/>
      <c r="C1172" s="637"/>
      <c r="D1172" s="637"/>
      <c r="E1172" s="637"/>
      <c r="F1172" s="637"/>
      <c r="G1172" s="637"/>
      <c r="H1172" s="637"/>
      <c r="I1172" s="637"/>
      <c r="J1172" s="637"/>
    </row>
    <row r="1173" spans="1:10" x14ac:dyDescent="0.2">
      <c r="A1173" s="626"/>
      <c r="B1173" s="637"/>
      <c r="C1173" s="637"/>
      <c r="D1173" s="637"/>
      <c r="E1173" s="637"/>
      <c r="F1173" s="637"/>
      <c r="G1173" s="637"/>
      <c r="H1173" s="637"/>
      <c r="I1173" s="637"/>
      <c r="J1173" s="637"/>
    </row>
    <row r="1174" spans="1:10" x14ac:dyDescent="0.2">
      <c r="A1174" s="626"/>
      <c r="B1174" s="637"/>
      <c r="C1174" s="637"/>
      <c r="D1174" s="637"/>
      <c r="E1174" s="637"/>
      <c r="F1174" s="637"/>
      <c r="G1174" s="637"/>
      <c r="H1174" s="637"/>
      <c r="I1174" s="637"/>
      <c r="J1174" s="637"/>
    </row>
    <row r="1175" spans="1:10" x14ac:dyDescent="0.2">
      <c r="A1175" s="626"/>
      <c r="B1175" s="637"/>
      <c r="C1175" s="637"/>
      <c r="D1175" s="637"/>
      <c r="E1175" s="637"/>
      <c r="F1175" s="637"/>
      <c r="G1175" s="637"/>
      <c r="H1175" s="637"/>
      <c r="I1175" s="637"/>
      <c r="J1175" s="637"/>
    </row>
    <row r="1176" spans="1:10" x14ac:dyDescent="0.2">
      <c r="A1176" s="626"/>
      <c r="B1176" s="637"/>
      <c r="C1176" s="637"/>
      <c r="D1176" s="637"/>
      <c r="E1176" s="637"/>
      <c r="F1176" s="637"/>
      <c r="G1176" s="637"/>
      <c r="H1176" s="637"/>
      <c r="I1176" s="637"/>
      <c r="J1176" s="637"/>
    </row>
    <row r="1177" spans="1:10" x14ac:dyDescent="0.2">
      <c r="A1177" s="626"/>
      <c r="B1177" s="637"/>
      <c r="C1177" s="637"/>
      <c r="D1177" s="637"/>
      <c r="E1177" s="637"/>
      <c r="F1177" s="637"/>
      <c r="G1177" s="637"/>
      <c r="H1177" s="637"/>
      <c r="I1177" s="637"/>
      <c r="J1177" s="637"/>
    </row>
    <row r="1178" spans="1:10" x14ac:dyDescent="0.2">
      <c r="A1178" s="626"/>
      <c r="B1178" s="637"/>
      <c r="C1178" s="637"/>
      <c r="D1178" s="637"/>
      <c r="E1178" s="637"/>
      <c r="F1178" s="637"/>
      <c r="G1178" s="637"/>
      <c r="H1178" s="637"/>
      <c r="I1178" s="637"/>
      <c r="J1178" s="637"/>
    </row>
    <row r="1179" spans="1:10" x14ac:dyDescent="0.2">
      <c r="A1179" s="626"/>
      <c r="B1179" s="637"/>
      <c r="C1179" s="637"/>
      <c r="D1179" s="637"/>
      <c r="E1179" s="637"/>
      <c r="F1179" s="637"/>
      <c r="G1179" s="637"/>
      <c r="H1179" s="637"/>
      <c r="I1179" s="637"/>
      <c r="J1179" s="637"/>
    </row>
    <row r="1180" spans="1:10" x14ac:dyDescent="0.2">
      <c r="A1180" s="626"/>
      <c r="B1180" s="637"/>
      <c r="C1180" s="637"/>
      <c r="D1180" s="637"/>
      <c r="E1180" s="637"/>
      <c r="F1180" s="637"/>
      <c r="G1180" s="637"/>
      <c r="H1180" s="637"/>
      <c r="I1180" s="637"/>
      <c r="J1180" s="637"/>
    </row>
    <row r="1181" spans="1:10" x14ac:dyDescent="0.2">
      <c r="A1181" s="626"/>
      <c r="B1181" s="637"/>
      <c r="C1181" s="637"/>
      <c r="D1181" s="637"/>
      <c r="E1181" s="637"/>
      <c r="F1181" s="637"/>
      <c r="G1181" s="637"/>
      <c r="H1181" s="637"/>
      <c r="I1181" s="637"/>
      <c r="J1181" s="637"/>
    </row>
    <row r="1182" spans="1:10" x14ac:dyDescent="0.2">
      <c r="A1182" s="626"/>
      <c r="B1182" s="637"/>
      <c r="C1182" s="637"/>
      <c r="D1182" s="637"/>
      <c r="E1182" s="637"/>
      <c r="F1182" s="637"/>
      <c r="G1182" s="637"/>
      <c r="H1182" s="637"/>
      <c r="I1182" s="637"/>
      <c r="J1182" s="637"/>
    </row>
    <row r="1183" spans="1:10" x14ac:dyDescent="0.2">
      <c r="A1183" s="626"/>
      <c r="B1183" s="637"/>
      <c r="C1183" s="637"/>
      <c r="D1183" s="637"/>
      <c r="E1183" s="637"/>
      <c r="F1183" s="637"/>
      <c r="G1183" s="637"/>
      <c r="H1183" s="637"/>
      <c r="I1183" s="637"/>
      <c r="J1183" s="637"/>
    </row>
    <row r="1184" spans="1:10" x14ac:dyDescent="0.2">
      <c r="A1184" s="626"/>
      <c r="B1184" s="637"/>
      <c r="C1184" s="637"/>
      <c r="D1184" s="637"/>
      <c r="E1184" s="637"/>
      <c r="F1184" s="637"/>
      <c r="G1184" s="637"/>
      <c r="H1184" s="637"/>
      <c r="I1184" s="637"/>
      <c r="J1184" s="637"/>
    </row>
    <row r="1185" spans="1:10" x14ac:dyDescent="0.2">
      <c r="A1185" s="626"/>
      <c r="B1185" s="637"/>
      <c r="C1185" s="637"/>
      <c r="D1185" s="637"/>
      <c r="E1185" s="637"/>
      <c r="F1185" s="637"/>
      <c r="G1185" s="637"/>
      <c r="H1185" s="637"/>
      <c r="I1185" s="637"/>
      <c r="J1185" s="637"/>
    </row>
    <row r="1186" spans="1:10" x14ac:dyDescent="0.2">
      <c r="A1186" s="626"/>
      <c r="B1186" s="637"/>
      <c r="C1186" s="637"/>
      <c r="D1186" s="637"/>
      <c r="E1186" s="637"/>
      <c r="F1186" s="637"/>
      <c r="G1186" s="637"/>
      <c r="H1186" s="637"/>
      <c r="I1186" s="637"/>
      <c r="J1186" s="637"/>
    </row>
    <row r="1187" spans="1:10" x14ac:dyDescent="0.2">
      <c r="A1187" s="626"/>
      <c r="B1187" s="637"/>
      <c r="C1187" s="637"/>
      <c r="D1187" s="637"/>
      <c r="E1187" s="637"/>
      <c r="F1187" s="637"/>
      <c r="G1187" s="637"/>
      <c r="H1187" s="637"/>
      <c r="I1187" s="637"/>
      <c r="J1187" s="637"/>
    </row>
    <row r="1188" spans="1:10" x14ac:dyDescent="0.2">
      <c r="A1188" s="626"/>
      <c r="B1188" s="637"/>
      <c r="C1188" s="637"/>
      <c r="D1188" s="637"/>
      <c r="E1188" s="637"/>
      <c r="F1188" s="637"/>
      <c r="G1188" s="637"/>
      <c r="H1188" s="637"/>
      <c r="I1188" s="637"/>
      <c r="J1188" s="637"/>
    </row>
    <row r="1189" spans="1:10" x14ac:dyDescent="0.2">
      <c r="A1189" s="626"/>
      <c r="B1189" s="637"/>
      <c r="C1189" s="637"/>
      <c r="D1189" s="637"/>
      <c r="E1189" s="637"/>
      <c r="F1189" s="637"/>
      <c r="G1189" s="637"/>
      <c r="H1189" s="637"/>
      <c r="I1189" s="637"/>
      <c r="J1189" s="637"/>
    </row>
    <row r="1190" spans="1:10" x14ac:dyDescent="0.2">
      <c r="A1190" s="626"/>
      <c r="B1190" s="637"/>
      <c r="C1190" s="637"/>
      <c r="D1190" s="637"/>
      <c r="E1190" s="637"/>
      <c r="F1190" s="637"/>
      <c r="G1190" s="637"/>
      <c r="H1190" s="637"/>
      <c r="I1190" s="637"/>
      <c r="J1190" s="637"/>
    </row>
    <row r="1191" spans="1:10" x14ac:dyDescent="0.2">
      <c r="A1191" s="626"/>
      <c r="B1191" s="637"/>
      <c r="C1191" s="637"/>
      <c r="D1191" s="637"/>
      <c r="E1191" s="637"/>
      <c r="F1191" s="637"/>
      <c r="G1191" s="637"/>
      <c r="H1191" s="637"/>
      <c r="I1191" s="637"/>
      <c r="J1191" s="637"/>
    </row>
    <row r="1192" spans="1:10" x14ac:dyDescent="0.2">
      <c r="A1192" s="626"/>
      <c r="B1192" s="637"/>
      <c r="C1192" s="637"/>
      <c r="D1192" s="637"/>
      <c r="E1192" s="637"/>
      <c r="F1192" s="637"/>
      <c r="G1192" s="637"/>
      <c r="H1192" s="637"/>
      <c r="I1192" s="637"/>
      <c r="J1192" s="637"/>
    </row>
    <row r="1193" spans="1:10" x14ac:dyDescent="0.2">
      <c r="A1193" s="626"/>
      <c r="B1193" s="637"/>
      <c r="C1193" s="637"/>
      <c r="D1193" s="637"/>
      <c r="E1193" s="637"/>
      <c r="F1193" s="637"/>
      <c r="G1193" s="637"/>
      <c r="H1193" s="637"/>
      <c r="I1193" s="637"/>
      <c r="J1193" s="637"/>
    </row>
    <row r="1194" spans="1:10" x14ac:dyDescent="0.2">
      <c r="A1194" s="626"/>
      <c r="B1194" s="637"/>
      <c r="C1194" s="637"/>
      <c r="D1194" s="637"/>
      <c r="E1194" s="637"/>
      <c r="F1194" s="637"/>
      <c r="G1194" s="637"/>
      <c r="H1194" s="637"/>
      <c r="I1194" s="637"/>
      <c r="J1194" s="637"/>
    </row>
    <row r="1195" spans="1:10" x14ac:dyDescent="0.2">
      <c r="A1195" s="626"/>
      <c r="B1195" s="637"/>
      <c r="C1195" s="637"/>
      <c r="D1195" s="637"/>
      <c r="E1195" s="637"/>
      <c r="F1195" s="637"/>
      <c r="G1195" s="637"/>
      <c r="H1195" s="637"/>
      <c r="I1195" s="637"/>
      <c r="J1195" s="637"/>
    </row>
    <row r="1196" spans="1:10" x14ac:dyDescent="0.2">
      <c r="A1196" s="626"/>
      <c r="B1196" s="637"/>
      <c r="C1196" s="637"/>
      <c r="D1196" s="637"/>
      <c r="E1196" s="637"/>
      <c r="F1196" s="637"/>
      <c r="G1196" s="637"/>
      <c r="H1196" s="637"/>
      <c r="I1196" s="637"/>
      <c r="J1196" s="637"/>
    </row>
    <row r="1197" spans="1:10" x14ac:dyDescent="0.2">
      <c r="A1197" s="626"/>
      <c r="B1197" s="637"/>
      <c r="C1197" s="637"/>
      <c r="D1197" s="637"/>
      <c r="E1197" s="637"/>
      <c r="F1197" s="637"/>
      <c r="G1197" s="637"/>
      <c r="H1197" s="637"/>
      <c r="I1197" s="637"/>
      <c r="J1197" s="637"/>
    </row>
    <row r="1198" spans="1:10" x14ac:dyDescent="0.2">
      <c r="A1198" s="626"/>
      <c r="B1198" s="637"/>
      <c r="C1198" s="637"/>
      <c r="D1198" s="637"/>
      <c r="E1198" s="637"/>
      <c r="F1198" s="637"/>
      <c r="G1198" s="637"/>
      <c r="H1198" s="637"/>
      <c r="I1198" s="637"/>
      <c r="J1198" s="637"/>
    </row>
    <row r="1199" spans="1:10" x14ac:dyDescent="0.2">
      <c r="A1199" s="626"/>
      <c r="B1199" s="637"/>
      <c r="C1199" s="637"/>
      <c r="D1199" s="637"/>
      <c r="E1199" s="637"/>
      <c r="F1199" s="637"/>
      <c r="G1199" s="637"/>
      <c r="H1199" s="637"/>
      <c r="I1199" s="637"/>
      <c r="J1199" s="637"/>
    </row>
    <row r="1200" spans="1:10" x14ac:dyDescent="0.2">
      <c r="A1200" s="626"/>
      <c r="B1200" s="637"/>
      <c r="C1200" s="637"/>
      <c r="D1200" s="637"/>
      <c r="E1200" s="637"/>
      <c r="F1200" s="637"/>
      <c r="G1200" s="637"/>
      <c r="H1200" s="637"/>
      <c r="I1200" s="637"/>
      <c r="J1200" s="637"/>
    </row>
    <row r="1201" spans="1:10" x14ac:dyDescent="0.2">
      <c r="A1201" s="626"/>
      <c r="B1201" s="637"/>
      <c r="C1201" s="637"/>
      <c r="D1201" s="637"/>
      <c r="E1201" s="637"/>
      <c r="F1201" s="637"/>
      <c r="G1201" s="637"/>
      <c r="H1201" s="637"/>
      <c r="I1201" s="637"/>
      <c r="J1201" s="637"/>
    </row>
    <row r="1202" spans="1:10" x14ac:dyDescent="0.2">
      <c r="A1202" s="626"/>
      <c r="B1202" s="637"/>
      <c r="C1202" s="637"/>
      <c r="D1202" s="637"/>
      <c r="E1202" s="637"/>
      <c r="F1202" s="637"/>
      <c r="G1202" s="637"/>
      <c r="H1202" s="637"/>
      <c r="I1202" s="637"/>
      <c r="J1202" s="637"/>
    </row>
    <row r="1203" spans="1:10" x14ac:dyDescent="0.2">
      <c r="A1203" s="626"/>
      <c r="B1203" s="637"/>
      <c r="C1203" s="637"/>
      <c r="D1203" s="637"/>
      <c r="E1203" s="637"/>
      <c r="F1203" s="637"/>
      <c r="G1203" s="637"/>
      <c r="H1203" s="637"/>
      <c r="I1203" s="637"/>
      <c r="J1203" s="637"/>
    </row>
    <row r="1204" spans="1:10" x14ac:dyDescent="0.2">
      <c r="A1204" s="626"/>
      <c r="B1204" s="637"/>
      <c r="C1204" s="637"/>
      <c r="D1204" s="637"/>
      <c r="E1204" s="637"/>
      <c r="F1204" s="637"/>
      <c r="G1204" s="637"/>
      <c r="H1204" s="637"/>
      <c r="I1204" s="637"/>
      <c r="J1204" s="637"/>
    </row>
    <row r="1205" spans="1:10" x14ac:dyDescent="0.2">
      <c r="A1205" s="626"/>
      <c r="B1205" s="637"/>
      <c r="C1205" s="637"/>
      <c r="D1205" s="637"/>
      <c r="E1205" s="637"/>
      <c r="F1205" s="637"/>
      <c r="G1205" s="637"/>
      <c r="H1205" s="637"/>
      <c r="I1205" s="637"/>
      <c r="J1205" s="637"/>
    </row>
    <row r="1206" spans="1:10" x14ac:dyDescent="0.2">
      <c r="A1206" s="626"/>
      <c r="B1206" s="637"/>
      <c r="C1206" s="637"/>
      <c r="D1206" s="637"/>
      <c r="E1206" s="637"/>
      <c r="F1206" s="637"/>
      <c r="G1206" s="637"/>
      <c r="H1206" s="637"/>
      <c r="I1206" s="637"/>
      <c r="J1206" s="637"/>
    </row>
    <row r="1207" spans="1:10" x14ac:dyDescent="0.2">
      <c r="A1207" s="626"/>
      <c r="B1207" s="637"/>
      <c r="C1207" s="637"/>
      <c r="D1207" s="637"/>
      <c r="E1207" s="637"/>
      <c r="F1207" s="637"/>
      <c r="G1207" s="637"/>
      <c r="H1207" s="637"/>
      <c r="I1207" s="637"/>
      <c r="J1207" s="637"/>
    </row>
    <row r="1208" spans="1:10" x14ac:dyDescent="0.2">
      <c r="A1208" s="626"/>
      <c r="B1208" s="637"/>
      <c r="C1208" s="637"/>
      <c r="D1208" s="637"/>
      <c r="E1208" s="637"/>
      <c r="F1208" s="637"/>
      <c r="G1208" s="637"/>
      <c r="H1208" s="637"/>
      <c r="I1208" s="637"/>
      <c r="J1208" s="637"/>
    </row>
    <row r="1209" spans="1:10" x14ac:dyDescent="0.2">
      <c r="A1209" s="626"/>
      <c r="B1209" s="637"/>
      <c r="C1209" s="637"/>
      <c r="D1209" s="637"/>
      <c r="E1209" s="637"/>
      <c r="F1209" s="637"/>
      <c r="G1209" s="637"/>
      <c r="H1209" s="637"/>
      <c r="I1209" s="637"/>
      <c r="J1209" s="637"/>
    </row>
    <row r="1210" spans="1:10" x14ac:dyDescent="0.2">
      <c r="A1210" s="626"/>
      <c r="B1210" s="637"/>
      <c r="C1210" s="637"/>
      <c r="D1210" s="637"/>
      <c r="E1210" s="637"/>
      <c r="F1210" s="637"/>
      <c r="G1210" s="637"/>
      <c r="H1210" s="637"/>
      <c r="I1210" s="637"/>
      <c r="J1210" s="637"/>
    </row>
    <row r="1211" spans="1:10" x14ac:dyDescent="0.2">
      <c r="A1211" s="626"/>
      <c r="B1211" s="637"/>
      <c r="C1211" s="637"/>
      <c r="D1211" s="637"/>
      <c r="E1211" s="637"/>
      <c r="F1211" s="637"/>
      <c r="G1211" s="637"/>
      <c r="H1211" s="637"/>
      <c r="I1211" s="637"/>
      <c r="J1211" s="637"/>
    </row>
    <row r="1212" spans="1:10" x14ac:dyDescent="0.2">
      <c r="A1212" s="626"/>
      <c r="B1212" s="637"/>
      <c r="C1212" s="637"/>
      <c r="D1212" s="637"/>
      <c r="E1212" s="637"/>
      <c r="F1212" s="637"/>
      <c r="G1212" s="637"/>
      <c r="H1212" s="637"/>
      <c r="I1212" s="637"/>
      <c r="J1212" s="637"/>
    </row>
    <row r="1213" spans="1:10" x14ac:dyDescent="0.2">
      <c r="A1213" s="626"/>
      <c r="B1213" s="637"/>
      <c r="C1213" s="637"/>
      <c r="D1213" s="637"/>
      <c r="E1213" s="637"/>
      <c r="F1213" s="637"/>
      <c r="G1213" s="637"/>
      <c r="H1213" s="637"/>
      <c r="I1213" s="637"/>
      <c r="J1213" s="637"/>
    </row>
    <row r="1214" spans="1:10" x14ac:dyDescent="0.2">
      <c r="A1214" s="626"/>
      <c r="B1214" s="637"/>
      <c r="C1214" s="637"/>
      <c r="D1214" s="637"/>
      <c r="E1214" s="637"/>
      <c r="F1214" s="637"/>
      <c r="G1214" s="637"/>
      <c r="H1214" s="637"/>
      <c r="I1214" s="637"/>
      <c r="J1214" s="637"/>
    </row>
    <row r="1215" spans="1:10" x14ac:dyDescent="0.2">
      <c r="A1215" s="626"/>
      <c r="B1215" s="637"/>
      <c r="C1215" s="637"/>
      <c r="D1215" s="637"/>
      <c r="E1215" s="637"/>
      <c r="F1215" s="637"/>
      <c r="G1215" s="637"/>
      <c r="H1215" s="637"/>
      <c r="I1215" s="637"/>
      <c r="J1215" s="637"/>
    </row>
    <row r="1216" spans="1:10" x14ac:dyDescent="0.2">
      <c r="A1216" s="626"/>
      <c r="B1216" s="637"/>
      <c r="C1216" s="637"/>
      <c r="D1216" s="637"/>
      <c r="E1216" s="637"/>
      <c r="F1216" s="637"/>
      <c r="G1216" s="637"/>
      <c r="H1216" s="637"/>
      <c r="I1216" s="637"/>
      <c r="J1216" s="637"/>
    </row>
    <row r="1217" spans="1:10" x14ac:dyDescent="0.2">
      <c r="A1217" s="626"/>
      <c r="B1217" s="637"/>
      <c r="C1217" s="637"/>
      <c r="D1217" s="637"/>
      <c r="E1217" s="637"/>
      <c r="F1217" s="637"/>
      <c r="G1217" s="637"/>
      <c r="H1217" s="637"/>
      <c r="I1217" s="637"/>
      <c r="J1217" s="637"/>
    </row>
    <row r="1218" spans="1:10" x14ac:dyDescent="0.2">
      <c r="A1218" s="626"/>
      <c r="B1218" s="637"/>
      <c r="C1218" s="637"/>
      <c r="D1218" s="637"/>
      <c r="E1218" s="637"/>
      <c r="F1218" s="637"/>
      <c r="G1218" s="637"/>
      <c r="H1218" s="637"/>
      <c r="I1218" s="637"/>
      <c r="J1218" s="637"/>
    </row>
    <row r="1219" spans="1:10" x14ac:dyDescent="0.2">
      <c r="A1219" s="626"/>
      <c r="B1219" s="637"/>
      <c r="C1219" s="637"/>
      <c r="D1219" s="637"/>
      <c r="E1219" s="637"/>
      <c r="F1219" s="637"/>
      <c r="G1219" s="637"/>
      <c r="H1219" s="637"/>
      <c r="I1219" s="637"/>
      <c r="J1219" s="637"/>
    </row>
    <row r="1220" spans="1:10" x14ac:dyDescent="0.2">
      <c r="A1220" s="626"/>
      <c r="B1220" s="637"/>
      <c r="C1220" s="637"/>
      <c r="D1220" s="637"/>
      <c r="E1220" s="637"/>
      <c r="F1220" s="637"/>
      <c r="G1220" s="637"/>
      <c r="H1220" s="637"/>
      <c r="I1220" s="637"/>
      <c r="J1220" s="637"/>
    </row>
    <row r="1221" spans="1:10" x14ac:dyDescent="0.2">
      <c r="A1221" s="626"/>
      <c r="B1221" s="637"/>
      <c r="C1221" s="637"/>
      <c r="D1221" s="637"/>
      <c r="E1221" s="637"/>
      <c r="F1221" s="637"/>
      <c r="G1221" s="637"/>
      <c r="H1221" s="637"/>
      <c r="I1221" s="637"/>
      <c r="J1221" s="637"/>
    </row>
    <row r="1222" spans="1:10" x14ac:dyDescent="0.2">
      <c r="A1222" s="626"/>
      <c r="B1222" s="637"/>
      <c r="C1222" s="637"/>
      <c r="D1222" s="637"/>
      <c r="E1222" s="637"/>
      <c r="F1222" s="637"/>
      <c r="G1222" s="637"/>
      <c r="H1222" s="637"/>
      <c r="I1222" s="637"/>
      <c r="J1222" s="637"/>
    </row>
    <row r="1223" spans="1:10" x14ac:dyDescent="0.2">
      <c r="A1223" s="626"/>
      <c r="B1223" s="637"/>
      <c r="C1223" s="637"/>
      <c r="D1223" s="637"/>
      <c r="E1223" s="637"/>
      <c r="F1223" s="637"/>
      <c r="G1223" s="637"/>
      <c r="H1223" s="637"/>
      <c r="I1223" s="637"/>
      <c r="J1223" s="637"/>
    </row>
    <row r="1224" spans="1:10" x14ac:dyDescent="0.2">
      <c r="A1224" s="626"/>
      <c r="B1224" s="637"/>
      <c r="C1224" s="637"/>
      <c r="D1224" s="637"/>
      <c r="E1224" s="637"/>
      <c r="F1224" s="637"/>
      <c r="G1224" s="637"/>
      <c r="H1224" s="637"/>
      <c r="I1224" s="637"/>
      <c r="J1224" s="637"/>
    </row>
    <row r="1225" spans="1:10" x14ac:dyDescent="0.2">
      <c r="A1225" s="626"/>
      <c r="B1225" s="637"/>
      <c r="C1225" s="637"/>
      <c r="D1225" s="637"/>
      <c r="E1225" s="637"/>
      <c r="F1225" s="637"/>
      <c r="G1225" s="637"/>
      <c r="H1225" s="637"/>
      <c r="I1225" s="637"/>
      <c r="J1225" s="637"/>
    </row>
    <row r="1226" spans="1:10" x14ac:dyDescent="0.2">
      <c r="A1226" s="626"/>
      <c r="B1226" s="637"/>
      <c r="C1226" s="637"/>
      <c r="D1226" s="637"/>
      <c r="E1226" s="637"/>
      <c r="F1226" s="637"/>
      <c r="G1226" s="637"/>
      <c r="H1226" s="637"/>
      <c r="I1226" s="637"/>
      <c r="J1226" s="637"/>
    </row>
    <row r="1227" spans="1:10" x14ac:dyDescent="0.2">
      <c r="A1227" s="626"/>
      <c r="B1227" s="637"/>
      <c r="C1227" s="637"/>
      <c r="D1227" s="637"/>
      <c r="E1227" s="637"/>
      <c r="F1227" s="637"/>
      <c r="G1227" s="637"/>
      <c r="H1227" s="637"/>
      <c r="I1227" s="637"/>
      <c r="J1227" s="637"/>
    </row>
    <row r="1228" spans="1:10" x14ac:dyDescent="0.2">
      <c r="A1228" s="626"/>
      <c r="B1228" s="637"/>
      <c r="C1228" s="637"/>
      <c r="D1228" s="637"/>
      <c r="E1228" s="637"/>
      <c r="F1228" s="637"/>
      <c r="G1228" s="637"/>
      <c r="H1228" s="637"/>
      <c r="I1228" s="637"/>
      <c r="J1228" s="637"/>
    </row>
    <row r="1229" spans="1:10" x14ac:dyDescent="0.2">
      <c r="A1229" s="626"/>
      <c r="B1229" s="637"/>
      <c r="C1229" s="637"/>
      <c r="D1229" s="637"/>
      <c r="E1229" s="637"/>
      <c r="F1229" s="637"/>
      <c r="G1229" s="637"/>
      <c r="H1229" s="637"/>
      <c r="I1229" s="637"/>
      <c r="J1229" s="637"/>
    </row>
    <row r="1230" spans="1:10" x14ac:dyDescent="0.2">
      <c r="A1230" s="626"/>
      <c r="B1230" s="637"/>
      <c r="C1230" s="637"/>
      <c r="D1230" s="637"/>
      <c r="E1230" s="637"/>
      <c r="F1230" s="637"/>
      <c r="G1230" s="637"/>
      <c r="H1230" s="637"/>
      <c r="I1230" s="637"/>
      <c r="J1230" s="637"/>
    </row>
    <row r="1231" spans="1:10" x14ac:dyDescent="0.2">
      <c r="A1231" s="626"/>
      <c r="B1231" s="637"/>
      <c r="C1231" s="637"/>
      <c r="D1231" s="637"/>
      <c r="E1231" s="637"/>
      <c r="F1231" s="637"/>
      <c r="G1231" s="637"/>
      <c r="H1231" s="637"/>
      <c r="I1231" s="637"/>
      <c r="J1231" s="637"/>
    </row>
    <row r="1232" spans="1:10" x14ac:dyDescent="0.2">
      <c r="A1232" s="626"/>
      <c r="B1232" s="637"/>
      <c r="C1232" s="637"/>
      <c r="D1232" s="637"/>
      <c r="E1232" s="637"/>
      <c r="F1232" s="637"/>
      <c r="G1232" s="637"/>
      <c r="H1232" s="637"/>
      <c r="I1232" s="637"/>
      <c r="J1232" s="637"/>
    </row>
    <row r="1233" spans="1:10" x14ac:dyDescent="0.2">
      <c r="A1233" s="626"/>
      <c r="B1233" s="637"/>
      <c r="C1233" s="637"/>
      <c r="D1233" s="637"/>
      <c r="E1233" s="637"/>
      <c r="F1233" s="637"/>
      <c r="G1233" s="637"/>
      <c r="H1233" s="637"/>
      <c r="I1233" s="637"/>
      <c r="J1233" s="637"/>
    </row>
    <row r="1234" spans="1:10" x14ac:dyDescent="0.2">
      <c r="A1234" s="626"/>
      <c r="B1234" s="637"/>
      <c r="C1234" s="637"/>
      <c r="D1234" s="637"/>
      <c r="E1234" s="637"/>
      <c r="F1234" s="637"/>
      <c r="G1234" s="637"/>
      <c r="H1234" s="637"/>
      <c r="I1234" s="637"/>
      <c r="J1234" s="637"/>
    </row>
    <row r="1235" spans="1:10" x14ac:dyDescent="0.2">
      <c r="A1235" s="626"/>
      <c r="B1235" s="637"/>
      <c r="C1235" s="637"/>
      <c r="D1235" s="637"/>
      <c r="E1235" s="637"/>
      <c r="F1235" s="637"/>
      <c r="G1235" s="637"/>
      <c r="H1235" s="637"/>
      <c r="I1235" s="637"/>
      <c r="J1235" s="637"/>
    </row>
    <row r="1236" spans="1:10" x14ac:dyDescent="0.2">
      <c r="A1236" s="626"/>
      <c r="B1236" s="637"/>
      <c r="C1236" s="637"/>
      <c r="D1236" s="637"/>
      <c r="E1236" s="637"/>
      <c r="F1236" s="637"/>
      <c r="G1236" s="637"/>
      <c r="H1236" s="637"/>
      <c r="I1236" s="637"/>
      <c r="J1236" s="637"/>
    </row>
    <row r="1237" spans="1:10" x14ac:dyDescent="0.2">
      <c r="A1237" s="626"/>
      <c r="B1237" s="637"/>
      <c r="C1237" s="637"/>
      <c r="D1237" s="637"/>
      <c r="E1237" s="637"/>
      <c r="F1237" s="637"/>
      <c r="G1237" s="637"/>
      <c r="H1237" s="637"/>
      <c r="I1237" s="637"/>
      <c r="J1237" s="637"/>
    </row>
    <row r="1238" spans="1:10" x14ac:dyDescent="0.2">
      <c r="A1238" s="626"/>
      <c r="B1238" s="637"/>
      <c r="C1238" s="637"/>
      <c r="D1238" s="637"/>
      <c r="E1238" s="637"/>
      <c r="F1238" s="637"/>
      <c r="G1238" s="637"/>
      <c r="H1238" s="637"/>
      <c r="I1238" s="637"/>
      <c r="J1238" s="637"/>
    </row>
    <row r="1239" spans="1:10" x14ac:dyDescent="0.2">
      <c r="A1239" s="626"/>
      <c r="B1239" s="637"/>
      <c r="C1239" s="637"/>
      <c r="D1239" s="637"/>
      <c r="E1239" s="637"/>
      <c r="F1239" s="637"/>
      <c r="G1239" s="637"/>
      <c r="H1239" s="637"/>
      <c r="I1239" s="637"/>
      <c r="J1239" s="637"/>
    </row>
    <row r="1240" spans="1:10" x14ac:dyDescent="0.2">
      <c r="A1240" s="626"/>
      <c r="B1240" s="637"/>
      <c r="C1240" s="637"/>
      <c r="D1240" s="637"/>
      <c r="E1240" s="637"/>
      <c r="F1240" s="637"/>
      <c r="G1240" s="637"/>
      <c r="H1240" s="637"/>
      <c r="I1240" s="637"/>
      <c r="J1240" s="637"/>
    </row>
    <row r="1241" spans="1:10" x14ac:dyDescent="0.2">
      <c r="A1241" s="626"/>
      <c r="B1241" s="637"/>
      <c r="C1241" s="637"/>
      <c r="D1241" s="637"/>
      <c r="E1241" s="637"/>
      <c r="F1241" s="637"/>
      <c r="G1241" s="637"/>
      <c r="H1241" s="637"/>
      <c r="I1241" s="637"/>
      <c r="J1241" s="637"/>
    </row>
    <row r="1242" spans="1:10" x14ac:dyDescent="0.2">
      <c r="A1242" s="626"/>
      <c r="B1242" s="637"/>
      <c r="C1242" s="637"/>
      <c r="D1242" s="637"/>
      <c r="E1242" s="637"/>
      <c r="F1242" s="637"/>
      <c r="G1242" s="637"/>
      <c r="H1242" s="637"/>
      <c r="I1242" s="637"/>
      <c r="J1242" s="637"/>
    </row>
    <row r="1243" spans="1:10" x14ac:dyDescent="0.2">
      <c r="A1243" s="626"/>
      <c r="B1243" s="637"/>
      <c r="C1243" s="637"/>
      <c r="D1243" s="637"/>
      <c r="E1243" s="637"/>
      <c r="F1243" s="637"/>
      <c r="G1243" s="637"/>
      <c r="H1243" s="637"/>
      <c r="I1243" s="637"/>
      <c r="J1243" s="637"/>
    </row>
    <row r="1244" spans="1:10" x14ac:dyDescent="0.2">
      <c r="A1244" s="626"/>
      <c r="B1244" s="637"/>
      <c r="C1244" s="637"/>
      <c r="D1244" s="637"/>
      <c r="E1244" s="637"/>
      <c r="F1244" s="637"/>
      <c r="G1244" s="637"/>
      <c r="H1244" s="637"/>
      <c r="I1244" s="637"/>
      <c r="J1244" s="637"/>
    </row>
    <row r="1245" spans="1:10" x14ac:dyDescent="0.2">
      <c r="A1245" s="626"/>
      <c r="B1245" s="637"/>
      <c r="C1245" s="637"/>
      <c r="D1245" s="637"/>
      <c r="E1245" s="637"/>
      <c r="F1245" s="637"/>
      <c r="G1245" s="637"/>
      <c r="H1245" s="637"/>
      <c r="I1245" s="637"/>
      <c r="J1245" s="637"/>
    </row>
    <row r="1246" spans="1:10" x14ac:dyDescent="0.2">
      <c r="A1246" s="626"/>
      <c r="B1246" s="637"/>
      <c r="C1246" s="637"/>
      <c r="D1246" s="637"/>
      <c r="E1246" s="637"/>
      <c r="F1246" s="637"/>
      <c r="G1246" s="637"/>
      <c r="H1246" s="637"/>
      <c r="I1246" s="637"/>
      <c r="J1246" s="637"/>
    </row>
    <row r="1247" spans="1:10" x14ac:dyDescent="0.2">
      <c r="A1247" s="626"/>
      <c r="B1247" s="637"/>
      <c r="C1247" s="637"/>
      <c r="D1247" s="637"/>
      <c r="E1247" s="637"/>
      <c r="F1247" s="637"/>
      <c r="G1247" s="637"/>
      <c r="H1247" s="637"/>
      <c r="I1247" s="637"/>
      <c r="J1247" s="637"/>
    </row>
    <row r="1248" spans="1:10" x14ac:dyDescent="0.2">
      <c r="A1248" s="626"/>
      <c r="B1248" s="637"/>
      <c r="C1248" s="637"/>
      <c r="D1248" s="637"/>
      <c r="E1248" s="637"/>
      <c r="F1248" s="637"/>
      <c r="G1248" s="637"/>
      <c r="H1248" s="637"/>
      <c r="I1248" s="637"/>
      <c r="J1248" s="637"/>
    </row>
    <row r="1249" spans="1:10" x14ac:dyDescent="0.2">
      <c r="A1249" s="626"/>
      <c r="B1249" s="637"/>
      <c r="C1249" s="637"/>
      <c r="D1249" s="637"/>
      <c r="E1249" s="637"/>
      <c r="F1249" s="637"/>
      <c r="G1249" s="637"/>
      <c r="H1249" s="637"/>
      <c r="I1249" s="637"/>
      <c r="J1249" s="637"/>
    </row>
    <row r="1250" spans="1:10" x14ac:dyDescent="0.2">
      <c r="A1250" s="626"/>
      <c r="B1250" s="637"/>
      <c r="C1250" s="637"/>
      <c r="D1250" s="637"/>
      <c r="E1250" s="637"/>
      <c r="F1250" s="637"/>
      <c r="G1250" s="637"/>
      <c r="H1250" s="637"/>
      <c r="I1250" s="637"/>
      <c r="J1250" s="637"/>
    </row>
    <row r="1251" spans="1:10" x14ac:dyDescent="0.2">
      <c r="A1251" s="626"/>
      <c r="B1251" s="637"/>
      <c r="C1251" s="637"/>
      <c r="D1251" s="637"/>
      <c r="E1251" s="637"/>
      <c r="F1251" s="637"/>
      <c r="G1251" s="637"/>
      <c r="H1251" s="637"/>
      <c r="I1251" s="637"/>
      <c r="J1251" s="637"/>
    </row>
    <row r="1252" spans="1:10" x14ac:dyDescent="0.2">
      <c r="A1252" s="626"/>
      <c r="B1252" s="637"/>
      <c r="C1252" s="637"/>
      <c r="D1252" s="637"/>
      <c r="E1252" s="637"/>
      <c r="F1252" s="637"/>
      <c r="G1252" s="637"/>
      <c r="H1252" s="637"/>
      <c r="I1252" s="637"/>
      <c r="J1252" s="637"/>
    </row>
    <row r="1253" spans="1:10" x14ac:dyDescent="0.2">
      <c r="A1253" s="626"/>
      <c r="B1253" s="637"/>
      <c r="C1253" s="637"/>
      <c r="D1253" s="637"/>
      <c r="E1253" s="637"/>
      <c r="F1253" s="637"/>
      <c r="G1253" s="637"/>
      <c r="H1253" s="637"/>
      <c r="I1253" s="637"/>
      <c r="J1253" s="637"/>
    </row>
    <row r="1254" spans="1:10" x14ac:dyDescent="0.2">
      <c r="A1254" s="626"/>
      <c r="B1254" s="637"/>
      <c r="C1254" s="637"/>
      <c r="D1254" s="637"/>
      <c r="E1254" s="637"/>
      <c r="F1254" s="637"/>
      <c r="G1254" s="637"/>
      <c r="H1254" s="637"/>
      <c r="I1254" s="637"/>
      <c r="J1254" s="637"/>
    </row>
    <row r="1255" spans="1:10" x14ac:dyDescent="0.2">
      <c r="A1255" s="626"/>
      <c r="B1255" s="637"/>
      <c r="C1255" s="637"/>
      <c r="D1255" s="637"/>
      <c r="E1255" s="637"/>
      <c r="F1255" s="637"/>
      <c r="G1255" s="637"/>
      <c r="H1255" s="637"/>
      <c r="I1255" s="637"/>
      <c r="J1255" s="637"/>
    </row>
    <row r="1256" spans="1:10" x14ac:dyDescent="0.2">
      <c r="A1256" s="626"/>
      <c r="B1256" s="637"/>
      <c r="C1256" s="637"/>
      <c r="D1256" s="637"/>
      <c r="E1256" s="637"/>
      <c r="F1256" s="637"/>
      <c r="G1256" s="637"/>
      <c r="H1256" s="637"/>
      <c r="I1256" s="637"/>
      <c r="J1256" s="637"/>
    </row>
    <row r="1257" spans="1:10" x14ac:dyDescent="0.2">
      <c r="A1257" s="626"/>
      <c r="B1257" s="637"/>
      <c r="C1257" s="637"/>
      <c r="D1257" s="637"/>
      <c r="E1257" s="637"/>
      <c r="F1257" s="637"/>
      <c r="G1257" s="637"/>
      <c r="H1257" s="637"/>
      <c r="I1257" s="637"/>
      <c r="J1257" s="637"/>
    </row>
    <row r="1258" spans="1:10" x14ac:dyDescent="0.2">
      <c r="A1258" s="626"/>
      <c r="B1258" s="637"/>
      <c r="C1258" s="637"/>
      <c r="D1258" s="637"/>
      <c r="E1258" s="637"/>
      <c r="F1258" s="637"/>
      <c r="G1258" s="637"/>
      <c r="H1258" s="637"/>
      <c r="I1258" s="637"/>
      <c r="J1258" s="637"/>
    </row>
    <row r="1259" spans="1:10" x14ac:dyDescent="0.2">
      <c r="A1259" s="626"/>
      <c r="B1259" s="637"/>
      <c r="C1259" s="637"/>
      <c r="D1259" s="637"/>
      <c r="E1259" s="637"/>
      <c r="F1259" s="637"/>
      <c r="G1259" s="637"/>
      <c r="H1259" s="637"/>
      <c r="I1259" s="637"/>
      <c r="J1259" s="637"/>
    </row>
    <row r="1260" spans="1:10" x14ac:dyDescent="0.2">
      <c r="A1260" s="626"/>
      <c r="B1260" s="637"/>
      <c r="C1260" s="637"/>
      <c r="D1260" s="637"/>
      <c r="E1260" s="637"/>
      <c r="F1260" s="637"/>
      <c r="G1260" s="637"/>
      <c r="H1260" s="637"/>
      <c r="I1260" s="637"/>
      <c r="J1260" s="637"/>
    </row>
    <row r="1261" spans="1:10" x14ac:dyDescent="0.2">
      <c r="A1261" s="626"/>
      <c r="B1261" s="637"/>
      <c r="C1261" s="637"/>
      <c r="D1261" s="637"/>
      <c r="E1261" s="637"/>
      <c r="F1261" s="637"/>
      <c r="G1261" s="637"/>
      <c r="H1261" s="637"/>
      <c r="I1261" s="637"/>
      <c r="J1261" s="637"/>
    </row>
    <row r="1262" spans="1:10" x14ac:dyDescent="0.2">
      <c r="A1262" s="626"/>
      <c r="B1262" s="637"/>
      <c r="C1262" s="637"/>
      <c r="D1262" s="637"/>
      <c r="E1262" s="637"/>
      <c r="F1262" s="637"/>
      <c r="G1262" s="637"/>
      <c r="H1262" s="637"/>
      <c r="I1262" s="637"/>
      <c r="J1262" s="637"/>
    </row>
    <row r="1263" spans="1:10" x14ac:dyDescent="0.2">
      <c r="A1263" s="626"/>
      <c r="B1263" s="637"/>
      <c r="C1263" s="637"/>
      <c r="D1263" s="637"/>
      <c r="E1263" s="637"/>
      <c r="F1263" s="637"/>
      <c r="G1263" s="637"/>
      <c r="H1263" s="637"/>
      <c r="I1263" s="637"/>
      <c r="J1263" s="637"/>
    </row>
    <row r="1264" spans="1:10" x14ac:dyDescent="0.2">
      <c r="A1264" s="626"/>
      <c r="B1264" s="637"/>
      <c r="C1264" s="637"/>
      <c r="D1264" s="637"/>
      <c r="E1264" s="637"/>
      <c r="F1264" s="637"/>
      <c r="G1264" s="637"/>
      <c r="H1264" s="637"/>
      <c r="I1264" s="637"/>
      <c r="J1264" s="637"/>
    </row>
    <row r="1265" spans="1:10" x14ac:dyDescent="0.2">
      <c r="A1265" s="626"/>
      <c r="B1265" s="637"/>
      <c r="C1265" s="637"/>
      <c r="D1265" s="637"/>
      <c r="E1265" s="637"/>
      <c r="F1265" s="637"/>
      <c r="G1265" s="637"/>
      <c r="H1265" s="637"/>
      <c r="I1265" s="637"/>
      <c r="J1265" s="637"/>
    </row>
    <row r="1266" spans="1:10" x14ac:dyDescent="0.2">
      <c r="A1266" s="626"/>
      <c r="B1266" s="637"/>
      <c r="C1266" s="637"/>
      <c r="D1266" s="637"/>
      <c r="E1266" s="637"/>
      <c r="F1266" s="637"/>
      <c r="G1266" s="637"/>
      <c r="H1266" s="637"/>
      <c r="I1266" s="637"/>
      <c r="J1266" s="637"/>
    </row>
    <row r="1267" spans="1:10" x14ac:dyDescent="0.2">
      <c r="A1267" s="626"/>
      <c r="B1267" s="637"/>
      <c r="C1267" s="637"/>
      <c r="D1267" s="637"/>
      <c r="E1267" s="637"/>
      <c r="F1267" s="637"/>
      <c r="G1267" s="637"/>
      <c r="H1267" s="637"/>
      <c r="I1267" s="637"/>
      <c r="J1267" s="637"/>
    </row>
    <row r="1268" spans="1:10" x14ac:dyDescent="0.2">
      <c r="A1268" s="626"/>
      <c r="B1268" s="637"/>
      <c r="C1268" s="637"/>
      <c r="D1268" s="637"/>
      <c r="E1268" s="637"/>
      <c r="F1268" s="637"/>
      <c r="G1268" s="637"/>
      <c r="H1268" s="637"/>
      <c r="I1268" s="637"/>
      <c r="J1268" s="637"/>
    </row>
    <row r="1269" spans="1:10" x14ac:dyDescent="0.2">
      <c r="A1269" s="626"/>
      <c r="B1269" s="637"/>
      <c r="C1269" s="637"/>
      <c r="D1269" s="637"/>
      <c r="E1269" s="637"/>
      <c r="F1269" s="637"/>
      <c r="G1269" s="637"/>
      <c r="H1269" s="637"/>
      <c r="I1269" s="637"/>
      <c r="J1269" s="637"/>
    </row>
    <row r="1270" spans="1:10" x14ac:dyDescent="0.2">
      <c r="A1270" s="626"/>
      <c r="B1270" s="637"/>
      <c r="C1270" s="637"/>
      <c r="D1270" s="637"/>
      <c r="E1270" s="637"/>
      <c r="F1270" s="637"/>
      <c r="G1270" s="637"/>
      <c r="H1270" s="637"/>
      <c r="I1270" s="637"/>
      <c r="J1270" s="637"/>
    </row>
    <row r="1271" spans="1:10" x14ac:dyDescent="0.2">
      <c r="A1271" s="626"/>
      <c r="B1271" s="637"/>
      <c r="C1271" s="637"/>
      <c r="D1271" s="637"/>
      <c r="E1271" s="637"/>
      <c r="F1271" s="637"/>
      <c r="G1271" s="637"/>
      <c r="H1271" s="637"/>
      <c r="I1271" s="637"/>
      <c r="J1271" s="637"/>
    </row>
    <row r="1272" spans="1:10" x14ac:dyDescent="0.2">
      <c r="A1272" s="626"/>
      <c r="B1272" s="637"/>
      <c r="C1272" s="637"/>
      <c r="D1272" s="637"/>
      <c r="E1272" s="637"/>
      <c r="F1272" s="637"/>
      <c r="G1272" s="637"/>
      <c r="H1272" s="637"/>
      <c r="I1272" s="637"/>
      <c r="J1272" s="637"/>
    </row>
    <row r="1273" spans="1:10" x14ac:dyDescent="0.2">
      <c r="A1273" s="626"/>
      <c r="B1273" s="637"/>
      <c r="C1273" s="637"/>
      <c r="D1273" s="637"/>
      <c r="E1273" s="637"/>
      <c r="F1273" s="637"/>
      <c r="G1273" s="637"/>
      <c r="H1273" s="637"/>
      <c r="I1273" s="637"/>
      <c r="J1273" s="637"/>
    </row>
    <row r="1274" spans="1:10" x14ac:dyDescent="0.2">
      <c r="A1274" s="626"/>
      <c r="B1274" s="637"/>
      <c r="C1274" s="637"/>
      <c r="D1274" s="637"/>
      <c r="E1274" s="637"/>
      <c r="F1274" s="637"/>
      <c r="G1274" s="637"/>
      <c r="H1274" s="637"/>
      <c r="I1274" s="637"/>
      <c r="J1274" s="637"/>
    </row>
    <row r="1275" spans="1:10" x14ac:dyDescent="0.2">
      <c r="A1275" s="626"/>
      <c r="B1275" s="637"/>
      <c r="C1275" s="637"/>
      <c r="D1275" s="637"/>
      <c r="E1275" s="637"/>
      <c r="F1275" s="637"/>
      <c r="G1275" s="637"/>
      <c r="H1275" s="637"/>
      <c r="I1275" s="637"/>
      <c r="J1275" s="637"/>
    </row>
    <row r="1276" spans="1:10" x14ac:dyDescent="0.2">
      <c r="A1276" s="626"/>
      <c r="B1276" s="637"/>
      <c r="C1276" s="637"/>
      <c r="D1276" s="637"/>
      <c r="E1276" s="637"/>
      <c r="F1276" s="637"/>
      <c r="G1276" s="637"/>
      <c r="H1276" s="637"/>
      <c r="I1276" s="637"/>
      <c r="J1276" s="637"/>
    </row>
    <row r="1277" spans="1:10" x14ac:dyDescent="0.2">
      <c r="A1277" s="626"/>
      <c r="B1277" s="637"/>
      <c r="C1277" s="637"/>
      <c r="D1277" s="637"/>
      <c r="E1277" s="637"/>
      <c r="F1277" s="637"/>
      <c r="G1277" s="637"/>
      <c r="H1277" s="637"/>
      <c r="I1277" s="637"/>
      <c r="J1277" s="637"/>
    </row>
    <row r="1278" spans="1:10" x14ac:dyDescent="0.2">
      <c r="A1278" s="626"/>
      <c r="B1278" s="637"/>
      <c r="C1278" s="637"/>
      <c r="D1278" s="637"/>
      <c r="E1278" s="637"/>
      <c r="F1278" s="637"/>
      <c r="G1278" s="637"/>
      <c r="H1278" s="637"/>
      <c r="I1278" s="637"/>
      <c r="J1278" s="637"/>
    </row>
    <row r="1279" spans="1:10" x14ac:dyDescent="0.2">
      <c r="A1279" s="626"/>
      <c r="B1279" s="637"/>
      <c r="C1279" s="637"/>
      <c r="D1279" s="637"/>
      <c r="E1279" s="637"/>
      <c r="F1279" s="637"/>
      <c r="G1279" s="637"/>
      <c r="H1279" s="637"/>
      <c r="I1279" s="637"/>
      <c r="J1279" s="637"/>
    </row>
    <row r="1280" spans="1:10" x14ac:dyDescent="0.2">
      <c r="A1280" s="626"/>
      <c r="B1280" s="637"/>
      <c r="C1280" s="637"/>
      <c r="D1280" s="637"/>
      <c r="E1280" s="637"/>
      <c r="F1280" s="637"/>
      <c r="G1280" s="637"/>
      <c r="H1280" s="637"/>
      <c r="I1280" s="637"/>
      <c r="J1280" s="637"/>
    </row>
    <row r="1281" spans="1:10" x14ac:dyDescent="0.2">
      <c r="A1281" s="626"/>
      <c r="B1281" s="637"/>
      <c r="C1281" s="637"/>
      <c r="D1281" s="637"/>
      <c r="E1281" s="637"/>
      <c r="F1281" s="637"/>
      <c r="G1281" s="637"/>
      <c r="H1281" s="637"/>
      <c r="I1281" s="637"/>
      <c r="J1281" s="637"/>
    </row>
    <row r="1282" spans="1:10" x14ac:dyDescent="0.2">
      <c r="A1282" s="626"/>
      <c r="B1282" s="637"/>
      <c r="C1282" s="637"/>
      <c r="D1282" s="637"/>
      <c r="E1282" s="637"/>
      <c r="F1282" s="637"/>
      <c r="G1282" s="637"/>
      <c r="H1282" s="637"/>
      <c r="I1282" s="637"/>
      <c r="J1282" s="637"/>
    </row>
    <row r="1283" spans="1:10" x14ac:dyDescent="0.2">
      <c r="A1283" s="626"/>
      <c r="B1283" s="637"/>
      <c r="C1283" s="637"/>
      <c r="D1283" s="637"/>
      <c r="E1283" s="637"/>
      <c r="F1283" s="637"/>
      <c r="G1283" s="637"/>
      <c r="H1283" s="637"/>
      <c r="I1283" s="637"/>
      <c r="J1283" s="637"/>
    </row>
    <row r="1284" spans="1:10" x14ac:dyDescent="0.2">
      <c r="A1284" s="626"/>
      <c r="B1284" s="637"/>
      <c r="C1284" s="637"/>
      <c r="D1284" s="637"/>
      <c r="E1284" s="637"/>
      <c r="F1284" s="637"/>
      <c r="G1284" s="637"/>
      <c r="H1284" s="637"/>
      <c r="I1284" s="637"/>
      <c r="J1284" s="637"/>
    </row>
    <row r="1285" spans="1:10" x14ac:dyDescent="0.2">
      <c r="A1285" s="626"/>
      <c r="B1285" s="637"/>
      <c r="C1285" s="637"/>
      <c r="D1285" s="637"/>
      <c r="E1285" s="637"/>
      <c r="F1285" s="637"/>
      <c r="G1285" s="637"/>
      <c r="H1285" s="637"/>
      <c r="I1285" s="637"/>
      <c r="J1285" s="637"/>
    </row>
    <row r="1286" spans="1:10" x14ac:dyDescent="0.2">
      <c r="A1286" s="626"/>
      <c r="B1286" s="637"/>
      <c r="C1286" s="637"/>
      <c r="D1286" s="637"/>
      <c r="E1286" s="637"/>
      <c r="F1286" s="637"/>
      <c r="G1286" s="637"/>
      <c r="H1286" s="637"/>
      <c r="I1286" s="637"/>
      <c r="J1286" s="637"/>
    </row>
    <row r="1287" spans="1:10" x14ac:dyDescent="0.2">
      <c r="A1287" s="626"/>
      <c r="B1287" s="637"/>
      <c r="C1287" s="637"/>
      <c r="D1287" s="637"/>
      <c r="E1287" s="637"/>
      <c r="F1287" s="637"/>
      <c r="G1287" s="637"/>
      <c r="H1287" s="637"/>
      <c r="I1287" s="637"/>
      <c r="J1287" s="637"/>
    </row>
    <row r="1288" spans="1:10" x14ac:dyDescent="0.2">
      <c r="A1288" s="626"/>
      <c r="B1288" s="637"/>
      <c r="C1288" s="637"/>
      <c r="D1288" s="637"/>
      <c r="E1288" s="637"/>
      <c r="F1288" s="637"/>
      <c r="G1288" s="637"/>
      <c r="H1288" s="637"/>
      <c r="I1288" s="637"/>
      <c r="J1288" s="637"/>
    </row>
    <row r="1289" spans="1:10" x14ac:dyDescent="0.2">
      <c r="A1289" s="626"/>
      <c r="B1289" s="637"/>
      <c r="C1289" s="637"/>
      <c r="D1289" s="637"/>
      <c r="E1289" s="637"/>
      <c r="F1289" s="637"/>
      <c r="G1289" s="637"/>
      <c r="H1289" s="637"/>
      <c r="I1289" s="637"/>
      <c r="J1289" s="637"/>
    </row>
    <row r="1290" spans="1:10" x14ac:dyDescent="0.2">
      <c r="A1290" s="626"/>
      <c r="B1290" s="637"/>
      <c r="C1290" s="637"/>
      <c r="D1290" s="637"/>
      <c r="E1290" s="637"/>
      <c r="F1290" s="637"/>
      <c r="G1290" s="637"/>
      <c r="H1290" s="637"/>
      <c r="I1290" s="637"/>
      <c r="J1290" s="637"/>
    </row>
    <row r="1291" spans="1:10" x14ac:dyDescent="0.2">
      <c r="A1291" s="626"/>
      <c r="B1291" s="637"/>
      <c r="C1291" s="637"/>
      <c r="D1291" s="637"/>
      <c r="E1291" s="637"/>
      <c r="F1291" s="637"/>
      <c r="G1291" s="637"/>
      <c r="H1291" s="637"/>
      <c r="I1291" s="637"/>
      <c r="J1291" s="637"/>
    </row>
    <row r="1292" spans="1:10" x14ac:dyDescent="0.2">
      <c r="A1292" s="626"/>
      <c r="B1292" s="637"/>
      <c r="C1292" s="637"/>
      <c r="D1292" s="637"/>
      <c r="E1292" s="637"/>
      <c r="F1292" s="637"/>
      <c r="G1292" s="637"/>
      <c r="H1292" s="637"/>
      <c r="I1292" s="637"/>
      <c r="J1292" s="637"/>
    </row>
    <row r="1293" spans="1:10" x14ac:dyDescent="0.2">
      <c r="A1293" s="626"/>
      <c r="B1293" s="637"/>
      <c r="C1293" s="637"/>
      <c r="D1293" s="637"/>
      <c r="E1293" s="637"/>
      <c r="F1293" s="637"/>
      <c r="G1293" s="637"/>
      <c r="H1293" s="637"/>
      <c r="I1293" s="637"/>
      <c r="J1293" s="637"/>
    </row>
    <row r="1294" spans="1:10" x14ac:dyDescent="0.2">
      <c r="A1294" s="626"/>
      <c r="B1294" s="637"/>
      <c r="C1294" s="637"/>
      <c r="D1294" s="637"/>
      <c r="E1294" s="637"/>
      <c r="F1294" s="637"/>
      <c r="G1294" s="637"/>
      <c r="H1294" s="637"/>
      <c r="I1294" s="637"/>
      <c r="J1294" s="637"/>
    </row>
    <row r="1295" spans="1:10" x14ac:dyDescent="0.2">
      <c r="A1295" s="626"/>
      <c r="B1295" s="637"/>
      <c r="C1295" s="637"/>
      <c r="D1295" s="637"/>
      <c r="E1295" s="637"/>
      <c r="F1295" s="637"/>
      <c r="G1295" s="637"/>
      <c r="H1295" s="637"/>
      <c r="I1295" s="637"/>
      <c r="J1295" s="637"/>
    </row>
    <row r="1296" spans="1:10" x14ac:dyDescent="0.2">
      <c r="A1296" s="626"/>
      <c r="B1296" s="637"/>
      <c r="C1296" s="637"/>
      <c r="D1296" s="637"/>
      <c r="E1296" s="637"/>
      <c r="F1296" s="637"/>
      <c r="G1296" s="637"/>
      <c r="H1296" s="637"/>
      <c r="I1296" s="637"/>
      <c r="J1296" s="637"/>
    </row>
    <row r="1297" spans="1:10" x14ac:dyDescent="0.2">
      <c r="A1297" s="626"/>
      <c r="B1297" s="637"/>
      <c r="C1297" s="637"/>
      <c r="D1297" s="637"/>
      <c r="E1297" s="637"/>
      <c r="F1297" s="637"/>
      <c r="G1297" s="637"/>
      <c r="H1297" s="637"/>
      <c r="I1297" s="637"/>
      <c r="J1297" s="637"/>
    </row>
    <row r="1298" spans="1:10" x14ac:dyDescent="0.2">
      <c r="A1298" s="626"/>
      <c r="B1298" s="637"/>
      <c r="C1298" s="637"/>
      <c r="D1298" s="637"/>
      <c r="E1298" s="637"/>
      <c r="F1298" s="637"/>
      <c r="G1298" s="637"/>
      <c r="H1298" s="637"/>
      <c r="I1298" s="637"/>
      <c r="J1298" s="637"/>
    </row>
    <row r="1299" spans="1:10" x14ac:dyDescent="0.2">
      <c r="A1299" s="626"/>
      <c r="B1299" s="637"/>
      <c r="C1299" s="637"/>
      <c r="D1299" s="637"/>
      <c r="E1299" s="637"/>
      <c r="F1299" s="637"/>
      <c r="G1299" s="637"/>
      <c r="H1299" s="637"/>
      <c r="I1299" s="637"/>
      <c r="J1299" s="637"/>
    </row>
    <row r="1300" spans="1:10" x14ac:dyDescent="0.2">
      <c r="A1300" s="626"/>
      <c r="B1300" s="637"/>
      <c r="C1300" s="637"/>
      <c r="D1300" s="637"/>
      <c r="E1300" s="637"/>
      <c r="F1300" s="637"/>
      <c r="G1300" s="637"/>
      <c r="H1300" s="637"/>
      <c r="I1300" s="637"/>
      <c r="J1300" s="637"/>
    </row>
    <row r="1301" spans="1:10" x14ac:dyDescent="0.2">
      <c r="A1301" s="626"/>
      <c r="B1301" s="637"/>
      <c r="C1301" s="637"/>
      <c r="D1301" s="637"/>
      <c r="E1301" s="637"/>
      <c r="F1301" s="637"/>
      <c r="G1301" s="637"/>
      <c r="H1301" s="637"/>
      <c r="I1301" s="637"/>
      <c r="J1301" s="637"/>
    </row>
    <row r="1302" spans="1:10" x14ac:dyDescent="0.2">
      <c r="A1302" s="626"/>
      <c r="B1302" s="637"/>
      <c r="C1302" s="637"/>
      <c r="D1302" s="637"/>
      <c r="E1302" s="637"/>
      <c r="F1302" s="637"/>
      <c r="G1302" s="637"/>
      <c r="H1302" s="637"/>
      <c r="I1302" s="637"/>
      <c r="J1302" s="637"/>
    </row>
    <row r="1303" spans="1:10" x14ac:dyDescent="0.2">
      <c r="A1303" s="626"/>
      <c r="B1303" s="637"/>
      <c r="C1303" s="637"/>
      <c r="D1303" s="637"/>
      <c r="E1303" s="637"/>
      <c r="F1303" s="637"/>
      <c r="G1303" s="637"/>
      <c r="H1303" s="637"/>
      <c r="I1303" s="637"/>
      <c r="J1303" s="637"/>
    </row>
    <row r="1304" spans="1:10" x14ac:dyDescent="0.2">
      <c r="A1304" s="626"/>
      <c r="B1304" s="637"/>
      <c r="C1304" s="637"/>
      <c r="D1304" s="637"/>
      <c r="E1304" s="637"/>
      <c r="F1304" s="637"/>
      <c r="G1304" s="637"/>
      <c r="H1304" s="637"/>
      <c r="I1304" s="637"/>
      <c r="J1304" s="637"/>
    </row>
    <row r="1305" spans="1:10" x14ac:dyDescent="0.2">
      <c r="A1305" s="626"/>
      <c r="B1305" s="637"/>
      <c r="C1305" s="637"/>
      <c r="D1305" s="637"/>
      <c r="E1305" s="637"/>
      <c r="F1305" s="637"/>
      <c r="G1305" s="637"/>
      <c r="H1305" s="637"/>
      <c r="I1305" s="637"/>
      <c r="J1305" s="637"/>
    </row>
    <row r="1306" spans="1:10" x14ac:dyDescent="0.2">
      <c r="A1306" s="626"/>
      <c r="B1306" s="637"/>
      <c r="C1306" s="637"/>
      <c r="D1306" s="637"/>
      <c r="E1306" s="637"/>
      <c r="F1306" s="637"/>
      <c r="G1306" s="637"/>
      <c r="H1306" s="637"/>
      <c r="I1306" s="637"/>
      <c r="J1306" s="637"/>
    </row>
    <row r="1307" spans="1:10" x14ac:dyDescent="0.2">
      <c r="A1307" s="626"/>
      <c r="B1307" s="637"/>
      <c r="C1307" s="637"/>
      <c r="D1307" s="637"/>
      <c r="E1307" s="637"/>
      <c r="F1307" s="637"/>
      <c r="G1307" s="637"/>
      <c r="H1307" s="637"/>
      <c r="I1307" s="637"/>
      <c r="J1307" s="637"/>
    </row>
    <row r="1308" spans="1:10" x14ac:dyDescent="0.2">
      <c r="A1308" s="626"/>
      <c r="B1308" s="637"/>
      <c r="C1308" s="637"/>
      <c r="D1308" s="637"/>
      <c r="E1308" s="637"/>
      <c r="F1308" s="637"/>
      <c r="G1308" s="637"/>
      <c r="H1308" s="637"/>
      <c r="I1308" s="637"/>
      <c r="J1308" s="637"/>
    </row>
    <row r="1309" spans="1:10" x14ac:dyDescent="0.2">
      <c r="A1309" s="626"/>
      <c r="B1309" s="637"/>
      <c r="C1309" s="637"/>
      <c r="D1309" s="637"/>
      <c r="E1309" s="637"/>
      <c r="F1309" s="637"/>
      <c r="G1309" s="637"/>
      <c r="H1309" s="637"/>
      <c r="I1309" s="637"/>
      <c r="J1309" s="637"/>
    </row>
    <row r="1310" spans="1:10" x14ac:dyDescent="0.2">
      <c r="A1310" s="626"/>
      <c r="B1310" s="637"/>
      <c r="C1310" s="637"/>
      <c r="D1310" s="637"/>
      <c r="E1310" s="637"/>
      <c r="F1310" s="637"/>
      <c r="G1310" s="637"/>
      <c r="H1310" s="637"/>
      <c r="I1310" s="637"/>
      <c r="J1310" s="637"/>
    </row>
    <row r="1311" spans="1:10" x14ac:dyDescent="0.2">
      <c r="A1311" s="626"/>
      <c r="B1311" s="637"/>
      <c r="C1311" s="637"/>
      <c r="D1311" s="637"/>
      <c r="E1311" s="637"/>
      <c r="F1311" s="637"/>
      <c r="G1311" s="637"/>
      <c r="H1311" s="637"/>
      <c r="I1311" s="637"/>
      <c r="J1311" s="637"/>
    </row>
    <row r="1312" spans="1:10" x14ac:dyDescent="0.2">
      <c r="A1312" s="626"/>
      <c r="B1312" s="637"/>
      <c r="C1312" s="637"/>
      <c r="D1312" s="637"/>
      <c r="E1312" s="637"/>
      <c r="F1312" s="637"/>
      <c r="G1312" s="637"/>
      <c r="H1312" s="637"/>
      <c r="I1312" s="637"/>
      <c r="J1312" s="637"/>
    </row>
    <row r="1313" spans="1:10" x14ac:dyDescent="0.2">
      <c r="A1313" s="626"/>
      <c r="B1313" s="637"/>
      <c r="C1313" s="637"/>
      <c r="D1313" s="637"/>
      <c r="E1313" s="637"/>
      <c r="F1313" s="637"/>
      <c r="G1313" s="637"/>
      <c r="H1313" s="637"/>
      <c r="I1313" s="637"/>
      <c r="J1313" s="637"/>
    </row>
    <row r="1314" spans="1:10" x14ac:dyDescent="0.2">
      <c r="A1314" s="626"/>
      <c r="B1314" s="637"/>
      <c r="C1314" s="637"/>
      <c r="D1314" s="637"/>
      <c r="E1314" s="637"/>
      <c r="F1314" s="637"/>
      <c r="G1314" s="637"/>
      <c r="H1314" s="637"/>
      <c r="I1314" s="637"/>
      <c r="J1314" s="637"/>
    </row>
    <row r="1315" spans="1:10" x14ac:dyDescent="0.2">
      <c r="A1315" s="626"/>
      <c r="B1315" s="637"/>
      <c r="C1315" s="637"/>
      <c r="D1315" s="637"/>
      <c r="E1315" s="637"/>
      <c r="F1315" s="637"/>
      <c r="G1315" s="637"/>
      <c r="H1315" s="637"/>
      <c r="I1315" s="637"/>
      <c r="J1315" s="637"/>
    </row>
    <row r="1316" spans="1:10" x14ac:dyDescent="0.2">
      <c r="A1316" s="626"/>
      <c r="B1316" s="637"/>
      <c r="C1316" s="637"/>
      <c r="D1316" s="637"/>
      <c r="E1316" s="637"/>
      <c r="F1316" s="637"/>
      <c r="G1316" s="637"/>
      <c r="H1316" s="637"/>
      <c r="I1316" s="637"/>
      <c r="J1316" s="637"/>
    </row>
    <row r="1317" spans="1:10" x14ac:dyDescent="0.2">
      <c r="A1317" s="626"/>
      <c r="B1317" s="637"/>
      <c r="C1317" s="637"/>
      <c r="D1317" s="637"/>
      <c r="E1317" s="637"/>
      <c r="F1317" s="637"/>
      <c r="G1317" s="637"/>
      <c r="H1317" s="637"/>
      <c r="I1317" s="637"/>
      <c r="J1317" s="637"/>
    </row>
    <row r="1318" spans="1:10" x14ac:dyDescent="0.2">
      <c r="A1318" s="626"/>
      <c r="B1318" s="637"/>
      <c r="C1318" s="637"/>
      <c r="D1318" s="637"/>
      <c r="E1318" s="637"/>
      <c r="F1318" s="637"/>
      <c r="G1318" s="637"/>
      <c r="H1318" s="637"/>
      <c r="I1318" s="637"/>
      <c r="J1318" s="637"/>
    </row>
    <row r="1319" spans="1:10" x14ac:dyDescent="0.2">
      <c r="A1319" s="626"/>
      <c r="B1319" s="637"/>
      <c r="C1319" s="637"/>
      <c r="D1319" s="637"/>
      <c r="E1319" s="637"/>
      <c r="F1319" s="637"/>
      <c r="G1319" s="637"/>
      <c r="H1319" s="637"/>
      <c r="I1319" s="637"/>
      <c r="J1319" s="637"/>
    </row>
    <row r="1320" spans="1:10" x14ac:dyDescent="0.2">
      <c r="A1320" s="626"/>
      <c r="B1320" s="637"/>
      <c r="C1320" s="637"/>
      <c r="D1320" s="637"/>
      <c r="E1320" s="637"/>
      <c r="F1320" s="637"/>
      <c r="G1320" s="637"/>
      <c r="H1320" s="637"/>
      <c r="I1320" s="637"/>
      <c r="J1320" s="637"/>
    </row>
    <row r="1321" spans="1:10" x14ac:dyDescent="0.2">
      <c r="A1321" s="626"/>
      <c r="B1321" s="637"/>
      <c r="C1321" s="637"/>
      <c r="D1321" s="637"/>
      <c r="E1321" s="637"/>
      <c r="F1321" s="637"/>
      <c r="G1321" s="637"/>
      <c r="H1321" s="637"/>
      <c r="I1321" s="637"/>
      <c r="J1321" s="637"/>
    </row>
    <row r="1322" spans="1:10" x14ac:dyDescent="0.2">
      <c r="A1322" s="626"/>
      <c r="B1322" s="637"/>
      <c r="C1322" s="637"/>
      <c r="D1322" s="637"/>
      <c r="E1322" s="637"/>
      <c r="F1322" s="637"/>
      <c r="G1322" s="637"/>
      <c r="H1322" s="637"/>
      <c r="I1322" s="637"/>
      <c r="J1322" s="637"/>
    </row>
    <row r="1323" spans="1:10" x14ac:dyDescent="0.2">
      <c r="A1323" s="626"/>
      <c r="B1323" s="637"/>
      <c r="C1323" s="637"/>
      <c r="D1323" s="637"/>
      <c r="E1323" s="637"/>
      <c r="F1323" s="637"/>
      <c r="G1323" s="637"/>
      <c r="H1323" s="637"/>
      <c r="I1323" s="637"/>
      <c r="J1323" s="637"/>
    </row>
    <row r="1324" spans="1:10" x14ac:dyDescent="0.2">
      <c r="A1324" s="626"/>
      <c r="B1324" s="637"/>
      <c r="C1324" s="637"/>
      <c r="D1324" s="637"/>
      <c r="E1324" s="637"/>
      <c r="F1324" s="637"/>
      <c r="G1324" s="637"/>
      <c r="H1324" s="637"/>
      <c r="I1324" s="637"/>
      <c r="J1324" s="637"/>
    </row>
    <row r="1325" spans="1:10" x14ac:dyDescent="0.2">
      <c r="A1325" s="626"/>
      <c r="B1325" s="637"/>
      <c r="C1325" s="637"/>
      <c r="D1325" s="637"/>
      <c r="E1325" s="637"/>
      <c r="F1325" s="637"/>
      <c r="G1325" s="637"/>
      <c r="H1325" s="637"/>
      <c r="I1325" s="637"/>
      <c r="J1325" s="637"/>
    </row>
    <row r="1326" spans="1:10" x14ac:dyDescent="0.2">
      <c r="A1326" s="626"/>
      <c r="B1326" s="637"/>
      <c r="C1326" s="637"/>
      <c r="D1326" s="637"/>
      <c r="E1326" s="637"/>
      <c r="F1326" s="637"/>
      <c r="G1326" s="637"/>
      <c r="H1326" s="637"/>
      <c r="I1326" s="637"/>
      <c r="J1326" s="637"/>
    </row>
    <row r="1327" spans="1:10" x14ac:dyDescent="0.2">
      <c r="A1327" s="626"/>
      <c r="B1327" s="637"/>
      <c r="C1327" s="637"/>
      <c r="D1327" s="637"/>
      <c r="E1327" s="637"/>
      <c r="F1327" s="637"/>
      <c r="G1327" s="637"/>
      <c r="H1327" s="637"/>
      <c r="I1327" s="637"/>
      <c r="J1327" s="637"/>
    </row>
    <row r="1328" spans="1:10" x14ac:dyDescent="0.2">
      <c r="A1328" s="626"/>
      <c r="B1328" s="637"/>
      <c r="C1328" s="637"/>
      <c r="D1328" s="637"/>
      <c r="E1328" s="637"/>
      <c r="F1328" s="637"/>
      <c r="G1328" s="637"/>
      <c r="H1328" s="637"/>
      <c r="I1328" s="637"/>
      <c r="J1328" s="637"/>
    </row>
    <row r="1329" spans="1:10" x14ac:dyDescent="0.2">
      <c r="A1329" s="626"/>
      <c r="B1329" s="637"/>
      <c r="C1329" s="637"/>
      <c r="D1329" s="637"/>
      <c r="E1329" s="637"/>
      <c r="F1329" s="637"/>
      <c r="G1329" s="637"/>
      <c r="H1329" s="637"/>
      <c r="I1329" s="637"/>
      <c r="J1329" s="637"/>
    </row>
    <row r="1330" spans="1:10" x14ac:dyDescent="0.2">
      <c r="A1330" s="626"/>
      <c r="B1330" s="637"/>
      <c r="C1330" s="637"/>
      <c r="D1330" s="637"/>
      <c r="E1330" s="637"/>
      <c r="F1330" s="637"/>
      <c r="G1330" s="637"/>
      <c r="H1330" s="637"/>
      <c r="I1330" s="637"/>
      <c r="J1330" s="637"/>
    </row>
    <row r="1331" spans="1:10" x14ac:dyDescent="0.2">
      <c r="A1331" s="626"/>
      <c r="B1331" s="637"/>
      <c r="C1331" s="637"/>
      <c r="D1331" s="637"/>
      <c r="E1331" s="637"/>
      <c r="F1331" s="637"/>
      <c r="G1331" s="637"/>
      <c r="H1331" s="637"/>
      <c r="I1331" s="637"/>
      <c r="J1331" s="637"/>
    </row>
    <row r="1332" spans="1:10" x14ac:dyDescent="0.2">
      <c r="A1332" s="626"/>
      <c r="B1332" s="637"/>
      <c r="C1332" s="637"/>
      <c r="D1332" s="637"/>
      <c r="E1332" s="637"/>
      <c r="F1332" s="637"/>
      <c r="G1332" s="637"/>
      <c r="H1332" s="637"/>
      <c r="I1332" s="637"/>
      <c r="J1332" s="637"/>
    </row>
    <row r="1333" spans="1:10" x14ac:dyDescent="0.2">
      <c r="A1333" s="626"/>
      <c r="B1333" s="637"/>
      <c r="C1333" s="637"/>
      <c r="D1333" s="637"/>
      <c r="E1333" s="637"/>
      <c r="F1333" s="637"/>
      <c r="G1333" s="637"/>
      <c r="H1333" s="637"/>
      <c r="I1333" s="637"/>
      <c r="J1333" s="637"/>
    </row>
    <row r="1334" spans="1:10" x14ac:dyDescent="0.2">
      <c r="A1334" s="626"/>
      <c r="B1334" s="637"/>
      <c r="C1334" s="637"/>
      <c r="D1334" s="637"/>
      <c r="E1334" s="637"/>
      <c r="F1334" s="637"/>
      <c r="G1334" s="637"/>
      <c r="H1334" s="637"/>
      <c r="I1334" s="637"/>
      <c r="J1334" s="637"/>
    </row>
    <row r="1335" spans="1:10" x14ac:dyDescent="0.2">
      <c r="A1335" s="626"/>
      <c r="B1335" s="637"/>
      <c r="C1335" s="637"/>
      <c r="D1335" s="637"/>
      <c r="E1335" s="637"/>
      <c r="F1335" s="637"/>
      <c r="G1335" s="637"/>
      <c r="H1335" s="637"/>
      <c r="I1335" s="637"/>
      <c r="J1335" s="637"/>
    </row>
    <row r="1336" spans="1:10" x14ac:dyDescent="0.2">
      <c r="A1336" s="626"/>
      <c r="B1336" s="637"/>
      <c r="C1336" s="637"/>
      <c r="D1336" s="637"/>
      <c r="E1336" s="637"/>
      <c r="F1336" s="637"/>
      <c r="G1336" s="637"/>
      <c r="H1336" s="637"/>
      <c r="I1336" s="637"/>
      <c r="J1336" s="637"/>
    </row>
    <row r="1337" spans="1:10" x14ac:dyDescent="0.2">
      <c r="A1337" s="626"/>
      <c r="B1337" s="637"/>
      <c r="C1337" s="637"/>
      <c r="D1337" s="637"/>
      <c r="E1337" s="637"/>
      <c r="F1337" s="637"/>
      <c r="G1337" s="637"/>
      <c r="H1337" s="637"/>
      <c r="I1337" s="637"/>
      <c r="J1337" s="637"/>
    </row>
    <row r="1338" spans="1:10" x14ac:dyDescent="0.2">
      <c r="A1338" s="626"/>
      <c r="B1338" s="637"/>
      <c r="C1338" s="637"/>
      <c r="D1338" s="637"/>
      <c r="E1338" s="637"/>
      <c r="F1338" s="637"/>
      <c r="G1338" s="637"/>
      <c r="H1338" s="637"/>
      <c r="I1338" s="637"/>
      <c r="J1338" s="637"/>
    </row>
    <row r="1339" spans="1:10" x14ac:dyDescent="0.2">
      <c r="A1339" s="626"/>
      <c r="B1339" s="637"/>
      <c r="C1339" s="637"/>
      <c r="D1339" s="637"/>
      <c r="E1339" s="637"/>
      <c r="F1339" s="637"/>
      <c r="G1339" s="637"/>
      <c r="H1339" s="637"/>
      <c r="I1339" s="637"/>
      <c r="J1339" s="637"/>
    </row>
    <row r="1340" spans="1:10" x14ac:dyDescent="0.2">
      <c r="A1340" s="626"/>
      <c r="B1340" s="637"/>
      <c r="C1340" s="637"/>
      <c r="D1340" s="637"/>
      <c r="E1340" s="637"/>
      <c r="F1340" s="637"/>
      <c r="G1340" s="637"/>
      <c r="H1340" s="637"/>
      <c r="I1340" s="637"/>
      <c r="J1340" s="637"/>
    </row>
    <row r="1341" spans="1:10" x14ac:dyDescent="0.2">
      <c r="A1341" s="626"/>
      <c r="B1341" s="637"/>
      <c r="C1341" s="637"/>
      <c r="D1341" s="637"/>
      <c r="E1341" s="637"/>
      <c r="F1341" s="637"/>
      <c r="G1341" s="637"/>
      <c r="H1341" s="637"/>
      <c r="I1341" s="637"/>
      <c r="J1341" s="637"/>
    </row>
    <row r="1342" spans="1:10" x14ac:dyDescent="0.2">
      <c r="A1342" s="626"/>
      <c r="B1342" s="637"/>
      <c r="C1342" s="637"/>
      <c r="D1342" s="637"/>
      <c r="E1342" s="637"/>
      <c r="F1342" s="637"/>
      <c r="G1342" s="637"/>
      <c r="H1342" s="637"/>
      <c r="I1342" s="637"/>
      <c r="J1342" s="637"/>
    </row>
    <row r="1343" spans="1:10" x14ac:dyDescent="0.2">
      <c r="A1343" s="626"/>
      <c r="B1343" s="637"/>
      <c r="C1343" s="637"/>
      <c r="D1343" s="637"/>
      <c r="E1343" s="637"/>
      <c r="F1343" s="637"/>
      <c r="G1343" s="637"/>
      <c r="H1343" s="637"/>
      <c r="I1343" s="637"/>
      <c r="J1343" s="637"/>
    </row>
    <row r="1344" spans="1:10" x14ac:dyDescent="0.2">
      <c r="A1344" s="626"/>
      <c r="B1344" s="637"/>
      <c r="C1344" s="637"/>
      <c r="D1344" s="637"/>
      <c r="E1344" s="637"/>
      <c r="F1344" s="637"/>
      <c r="G1344" s="637"/>
      <c r="H1344" s="637"/>
      <c r="I1344" s="637"/>
      <c r="J1344" s="637"/>
    </row>
    <row r="1345" spans="1:10" x14ac:dyDescent="0.2">
      <c r="A1345" s="626"/>
      <c r="B1345" s="637"/>
      <c r="C1345" s="637"/>
      <c r="D1345" s="637"/>
      <c r="E1345" s="637"/>
      <c r="F1345" s="637"/>
      <c r="G1345" s="637"/>
      <c r="H1345" s="637"/>
      <c r="I1345" s="637"/>
      <c r="J1345" s="637"/>
    </row>
    <row r="1346" spans="1:10" x14ac:dyDescent="0.2">
      <c r="A1346" s="626"/>
      <c r="B1346" s="637"/>
      <c r="C1346" s="637"/>
      <c r="D1346" s="637"/>
      <c r="E1346" s="637"/>
      <c r="F1346" s="637"/>
      <c r="G1346" s="637"/>
      <c r="H1346" s="637"/>
      <c r="I1346" s="637"/>
      <c r="J1346" s="637"/>
    </row>
    <row r="1347" spans="1:10" x14ac:dyDescent="0.2">
      <c r="A1347" s="626"/>
      <c r="B1347" s="637"/>
      <c r="C1347" s="637"/>
      <c r="D1347" s="637"/>
      <c r="E1347" s="637"/>
      <c r="F1347" s="637"/>
      <c r="G1347" s="637"/>
      <c r="H1347" s="637"/>
      <c r="I1347" s="637"/>
      <c r="J1347" s="637"/>
    </row>
    <row r="1348" spans="1:10" x14ac:dyDescent="0.2">
      <c r="A1348" s="626"/>
      <c r="B1348" s="637"/>
      <c r="C1348" s="637"/>
      <c r="D1348" s="637"/>
      <c r="E1348" s="637"/>
      <c r="F1348" s="637"/>
      <c r="G1348" s="637"/>
      <c r="H1348" s="637"/>
      <c r="I1348" s="637"/>
      <c r="J1348" s="637"/>
    </row>
    <row r="1349" spans="1:10" x14ac:dyDescent="0.2">
      <c r="A1349" s="626"/>
      <c r="B1349" s="637"/>
      <c r="C1349" s="637"/>
      <c r="D1349" s="637"/>
      <c r="E1349" s="637"/>
      <c r="F1349" s="637"/>
      <c r="G1349" s="637"/>
      <c r="H1349" s="637"/>
      <c r="I1349" s="637"/>
      <c r="J1349" s="637"/>
    </row>
    <row r="1350" spans="1:10" x14ac:dyDescent="0.2">
      <c r="A1350" s="626"/>
      <c r="B1350" s="637"/>
      <c r="C1350" s="637"/>
      <c r="D1350" s="637"/>
      <c r="E1350" s="637"/>
      <c r="F1350" s="637"/>
      <c r="G1350" s="637"/>
      <c r="H1350" s="637"/>
      <c r="I1350" s="637"/>
      <c r="J1350" s="637"/>
    </row>
    <row r="1351" spans="1:10" x14ac:dyDescent="0.2">
      <c r="A1351" s="626"/>
      <c r="B1351" s="637"/>
      <c r="C1351" s="637"/>
      <c r="D1351" s="637"/>
      <c r="E1351" s="637"/>
      <c r="F1351" s="637"/>
      <c r="G1351" s="637"/>
      <c r="H1351" s="637"/>
      <c r="I1351" s="637"/>
      <c r="J1351" s="637"/>
    </row>
    <row r="1352" spans="1:10" x14ac:dyDescent="0.2">
      <c r="A1352" s="626"/>
      <c r="B1352" s="637"/>
      <c r="C1352" s="637"/>
      <c r="D1352" s="637"/>
      <c r="E1352" s="637"/>
      <c r="F1352" s="637"/>
      <c r="G1352" s="637"/>
      <c r="H1352" s="637"/>
      <c r="I1352" s="637"/>
      <c r="J1352" s="637"/>
    </row>
    <row r="1353" spans="1:10" x14ac:dyDescent="0.2">
      <c r="A1353" s="626"/>
      <c r="B1353" s="637"/>
      <c r="C1353" s="637"/>
      <c r="D1353" s="637"/>
      <c r="E1353" s="637"/>
      <c r="F1353" s="637"/>
      <c r="G1353" s="637"/>
      <c r="H1353" s="637"/>
      <c r="I1353" s="637"/>
      <c r="J1353" s="637"/>
    </row>
    <row r="1354" spans="1:10" x14ac:dyDescent="0.2">
      <c r="A1354" s="626"/>
      <c r="B1354" s="637"/>
      <c r="C1354" s="637"/>
      <c r="D1354" s="637"/>
      <c r="E1354" s="637"/>
      <c r="F1354" s="637"/>
      <c r="G1354" s="637"/>
      <c r="H1354" s="637"/>
      <c r="I1354" s="637"/>
      <c r="J1354" s="637"/>
    </row>
    <row r="1355" spans="1:10" x14ac:dyDescent="0.2">
      <c r="A1355" s="626"/>
      <c r="B1355" s="637"/>
      <c r="C1355" s="637"/>
      <c r="D1355" s="637"/>
      <c r="E1355" s="637"/>
      <c r="F1355" s="637"/>
      <c r="G1355" s="637"/>
      <c r="H1355" s="637"/>
      <c r="I1355" s="637"/>
      <c r="J1355" s="637"/>
    </row>
    <row r="1356" spans="1:10" x14ac:dyDescent="0.2">
      <c r="A1356" s="626"/>
      <c r="B1356" s="637"/>
      <c r="C1356" s="637"/>
      <c r="D1356" s="637"/>
      <c r="E1356" s="637"/>
      <c r="F1356" s="637"/>
      <c r="G1356" s="637"/>
      <c r="H1356" s="637"/>
      <c r="I1356" s="637"/>
      <c r="J1356" s="637"/>
    </row>
    <row r="1357" spans="1:10" x14ac:dyDescent="0.2">
      <c r="A1357" s="626"/>
      <c r="B1357" s="637"/>
      <c r="C1357" s="637"/>
      <c r="D1357" s="637"/>
      <c r="E1357" s="637"/>
      <c r="F1357" s="637"/>
      <c r="G1357" s="637"/>
      <c r="H1357" s="637"/>
      <c r="I1357" s="637"/>
      <c r="J1357" s="637"/>
    </row>
    <row r="1358" spans="1:10" x14ac:dyDescent="0.2">
      <c r="A1358" s="626"/>
      <c r="B1358" s="637"/>
      <c r="C1358" s="637"/>
      <c r="D1358" s="637"/>
      <c r="E1358" s="637"/>
      <c r="F1358" s="637"/>
      <c r="G1358" s="637"/>
      <c r="H1358" s="637"/>
      <c r="I1358" s="637"/>
      <c r="J1358" s="637"/>
    </row>
    <row r="1359" spans="1:10" x14ac:dyDescent="0.2">
      <c r="A1359" s="626"/>
      <c r="B1359" s="637"/>
      <c r="C1359" s="637"/>
      <c r="D1359" s="637"/>
      <c r="E1359" s="637"/>
      <c r="F1359" s="637"/>
      <c r="G1359" s="637"/>
      <c r="H1359" s="637"/>
      <c r="I1359" s="637"/>
      <c r="J1359" s="637"/>
    </row>
    <row r="1360" spans="1:10" x14ac:dyDescent="0.2">
      <c r="A1360" s="626"/>
      <c r="B1360" s="637"/>
      <c r="C1360" s="637"/>
      <c r="D1360" s="637"/>
      <c r="E1360" s="637"/>
      <c r="F1360" s="637"/>
      <c r="G1360" s="637"/>
      <c r="H1360" s="637"/>
      <c r="I1360" s="637"/>
      <c r="J1360" s="637"/>
    </row>
    <row r="1361" spans="1:10" x14ac:dyDescent="0.2">
      <c r="A1361" s="626"/>
      <c r="B1361" s="637"/>
      <c r="C1361" s="637"/>
      <c r="D1361" s="637"/>
      <c r="E1361" s="637"/>
      <c r="F1361" s="637"/>
      <c r="G1361" s="637"/>
      <c r="H1361" s="637"/>
      <c r="I1361" s="637"/>
      <c r="J1361" s="637"/>
    </row>
    <row r="1362" spans="1:10" x14ac:dyDescent="0.2">
      <c r="A1362" s="626"/>
      <c r="B1362" s="637"/>
      <c r="C1362" s="637"/>
      <c r="D1362" s="637"/>
      <c r="E1362" s="637"/>
      <c r="F1362" s="637"/>
      <c r="G1362" s="637"/>
      <c r="H1362" s="637"/>
      <c r="I1362" s="637"/>
      <c r="J1362" s="637"/>
    </row>
    <row r="1363" spans="1:10" x14ac:dyDescent="0.2">
      <c r="A1363" s="626"/>
      <c r="B1363" s="637"/>
      <c r="C1363" s="637"/>
      <c r="D1363" s="637"/>
      <c r="E1363" s="637"/>
      <c r="F1363" s="637"/>
      <c r="G1363" s="637"/>
      <c r="H1363" s="637"/>
      <c r="I1363" s="637"/>
      <c r="J1363" s="637"/>
    </row>
    <row r="1364" spans="1:10" x14ac:dyDescent="0.2">
      <c r="A1364" s="626"/>
      <c r="B1364" s="637"/>
      <c r="C1364" s="637"/>
      <c r="D1364" s="637"/>
      <c r="E1364" s="637"/>
      <c r="F1364" s="637"/>
      <c r="G1364" s="637"/>
      <c r="H1364" s="637"/>
      <c r="I1364" s="637"/>
      <c r="J1364" s="637"/>
    </row>
    <row r="1365" spans="1:10" x14ac:dyDescent="0.2">
      <c r="A1365" s="626"/>
      <c r="B1365" s="637"/>
      <c r="C1365" s="637"/>
      <c r="D1365" s="637"/>
      <c r="E1365" s="637"/>
      <c r="F1365" s="637"/>
      <c r="G1365" s="637"/>
      <c r="H1365" s="637"/>
      <c r="I1365" s="637"/>
      <c r="J1365" s="637"/>
    </row>
    <row r="1366" spans="1:10" x14ac:dyDescent="0.2">
      <c r="A1366" s="626"/>
      <c r="B1366" s="637"/>
      <c r="C1366" s="637"/>
      <c r="D1366" s="637"/>
      <c r="E1366" s="637"/>
      <c r="F1366" s="637"/>
      <c r="G1366" s="637"/>
      <c r="H1366" s="637"/>
      <c r="I1366" s="637"/>
      <c r="J1366" s="637"/>
    </row>
    <row r="1367" spans="1:10" x14ac:dyDescent="0.2">
      <c r="A1367" s="626"/>
      <c r="B1367" s="637"/>
      <c r="C1367" s="637"/>
      <c r="D1367" s="637"/>
      <c r="E1367" s="637"/>
      <c r="F1367" s="637"/>
      <c r="G1367" s="637"/>
      <c r="H1367" s="637"/>
      <c r="I1367" s="637"/>
      <c r="J1367" s="637"/>
    </row>
    <row r="1368" spans="1:10" x14ac:dyDescent="0.2">
      <c r="A1368" s="626"/>
      <c r="B1368" s="637"/>
      <c r="C1368" s="637"/>
      <c r="D1368" s="637"/>
      <c r="E1368" s="637"/>
      <c r="F1368" s="637"/>
      <c r="G1368" s="637"/>
      <c r="H1368" s="637"/>
      <c r="I1368" s="637"/>
      <c r="J1368" s="637"/>
    </row>
    <row r="1369" spans="1:10" x14ac:dyDescent="0.2">
      <c r="A1369" s="626"/>
      <c r="B1369" s="637"/>
      <c r="C1369" s="637"/>
      <c r="D1369" s="637"/>
      <c r="E1369" s="637"/>
      <c r="F1369" s="637"/>
      <c r="G1369" s="637"/>
      <c r="H1369" s="637"/>
      <c r="I1369" s="637"/>
      <c r="J1369" s="637"/>
    </row>
    <row r="1370" spans="1:10" x14ac:dyDescent="0.2">
      <c r="A1370" s="626"/>
      <c r="B1370" s="637"/>
      <c r="C1370" s="637"/>
      <c r="D1370" s="637"/>
      <c r="E1370" s="637"/>
      <c r="F1370" s="637"/>
      <c r="G1370" s="637"/>
      <c r="H1370" s="637"/>
      <c r="I1370" s="637"/>
      <c r="J1370" s="637"/>
    </row>
    <row r="1371" spans="1:10" x14ac:dyDescent="0.2">
      <c r="A1371" s="626"/>
      <c r="B1371" s="637"/>
      <c r="C1371" s="637"/>
      <c r="D1371" s="637"/>
      <c r="E1371" s="637"/>
      <c r="F1371" s="637"/>
      <c r="G1371" s="637"/>
      <c r="H1371" s="637"/>
      <c r="I1371" s="637"/>
      <c r="J1371" s="637"/>
    </row>
    <row r="1372" spans="1:10" x14ac:dyDescent="0.2">
      <c r="A1372" s="626"/>
      <c r="B1372" s="637"/>
      <c r="C1372" s="637"/>
      <c r="D1372" s="637"/>
      <c r="E1372" s="637"/>
      <c r="F1372" s="637"/>
      <c r="G1372" s="637"/>
      <c r="H1372" s="637"/>
      <c r="I1372" s="637"/>
      <c r="J1372" s="637"/>
    </row>
    <row r="1373" spans="1:10" x14ac:dyDescent="0.2">
      <c r="A1373" s="626"/>
      <c r="B1373" s="637"/>
      <c r="C1373" s="637"/>
      <c r="D1373" s="637"/>
      <c r="E1373" s="637"/>
      <c r="F1373" s="637"/>
      <c r="G1373" s="637"/>
      <c r="H1373" s="637"/>
      <c r="I1373" s="637"/>
      <c r="J1373" s="637"/>
    </row>
    <row r="1374" spans="1:10" x14ac:dyDescent="0.2">
      <c r="A1374" s="626"/>
      <c r="B1374" s="637"/>
      <c r="C1374" s="637"/>
      <c r="D1374" s="637"/>
      <c r="E1374" s="637"/>
      <c r="F1374" s="637"/>
      <c r="G1374" s="637"/>
      <c r="H1374" s="637"/>
      <c r="I1374" s="637"/>
      <c r="J1374" s="637"/>
    </row>
    <row r="1375" spans="1:10" x14ac:dyDescent="0.2">
      <c r="A1375" s="626"/>
      <c r="B1375" s="637"/>
      <c r="C1375" s="637"/>
      <c r="D1375" s="637"/>
      <c r="E1375" s="637"/>
      <c r="F1375" s="637"/>
      <c r="G1375" s="637"/>
      <c r="H1375" s="637"/>
      <c r="I1375" s="637"/>
      <c r="J1375" s="637"/>
    </row>
    <row r="1376" spans="1:10" x14ac:dyDescent="0.2">
      <c r="A1376" s="626"/>
      <c r="B1376" s="637"/>
      <c r="C1376" s="637"/>
      <c r="D1376" s="637"/>
      <c r="E1376" s="637"/>
      <c r="F1376" s="637"/>
      <c r="G1376" s="637"/>
      <c r="H1376" s="637"/>
      <c r="I1376" s="637"/>
      <c r="J1376" s="637"/>
    </row>
    <row r="1377" spans="1:10" x14ac:dyDescent="0.2">
      <c r="A1377" s="626"/>
      <c r="B1377" s="637"/>
      <c r="C1377" s="637"/>
      <c r="D1377" s="637"/>
      <c r="E1377" s="637"/>
      <c r="F1377" s="637"/>
      <c r="G1377" s="637"/>
      <c r="H1377" s="637"/>
      <c r="I1377" s="637"/>
      <c r="J1377" s="637"/>
    </row>
    <row r="1378" spans="1:10" x14ac:dyDescent="0.2">
      <c r="A1378" s="626"/>
      <c r="B1378" s="637"/>
      <c r="C1378" s="637"/>
      <c r="D1378" s="637"/>
      <c r="E1378" s="637"/>
      <c r="F1378" s="637"/>
      <c r="G1378" s="637"/>
      <c r="H1378" s="637"/>
      <c r="I1378" s="637"/>
      <c r="J1378" s="637"/>
    </row>
    <row r="1379" spans="1:10" x14ac:dyDescent="0.2">
      <c r="A1379" s="626"/>
      <c r="B1379" s="637"/>
      <c r="C1379" s="637"/>
      <c r="D1379" s="637"/>
      <c r="E1379" s="637"/>
      <c r="F1379" s="637"/>
      <c r="G1379" s="637"/>
      <c r="H1379" s="637"/>
      <c r="I1379" s="637"/>
      <c r="J1379" s="637"/>
    </row>
    <row r="1380" spans="1:10" x14ac:dyDescent="0.2">
      <c r="A1380" s="626"/>
      <c r="B1380" s="637"/>
      <c r="C1380" s="637"/>
      <c r="D1380" s="637"/>
      <c r="E1380" s="637"/>
      <c r="F1380" s="637"/>
      <c r="G1380" s="637"/>
      <c r="H1380" s="637"/>
      <c r="I1380" s="637"/>
      <c r="J1380" s="637"/>
    </row>
    <row r="1381" spans="1:10" x14ac:dyDescent="0.2">
      <c r="A1381" s="626"/>
      <c r="B1381" s="637"/>
      <c r="C1381" s="637"/>
      <c r="D1381" s="637"/>
      <c r="E1381" s="637"/>
      <c r="F1381" s="637"/>
      <c r="G1381" s="637"/>
      <c r="H1381" s="637"/>
      <c r="I1381" s="637"/>
      <c r="J1381" s="637"/>
    </row>
    <row r="1382" spans="1:10" x14ac:dyDescent="0.2">
      <c r="A1382" s="626"/>
      <c r="B1382" s="637"/>
      <c r="C1382" s="637"/>
      <c r="D1382" s="637"/>
      <c r="E1382" s="637"/>
      <c r="F1382" s="637"/>
      <c r="G1382" s="637"/>
      <c r="H1382" s="637"/>
      <c r="I1382" s="637"/>
      <c r="J1382" s="637"/>
    </row>
    <row r="1383" spans="1:10" x14ac:dyDescent="0.2">
      <c r="A1383" s="626"/>
      <c r="B1383" s="637"/>
      <c r="C1383" s="637"/>
      <c r="D1383" s="637"/>
      <c r="E1383" s="637"/>
      <c r="F1383" s="637"/>
      <c r="G1383" s="637"/>
      <c r="H1383" s="637"/>
      <c r="I1383" s="637"/>
      <c r="J1383" s="637"/>
    </row>
    <row r="1384" spans="1:10" x14ac:dyDescent="0.2">
      <c r="A1384" s="626"/>
      <c r="B1384" s="637"/>
      <c r="C1384" s="637"/>
      <c r="D1384" s="637"/>
      <c r="E1384" s="637"/>
      <c r="F1384" s="637"/>
      <c r="G1384" s="637"/>
      <c r="H1384" s="637"/>
      <c r="I1384" s="637"/>
      <c r="J1384" s="637"/>
    </row>
    <row r="1385" spans="1:10" x14ac:dyDescent="0.2">
      <c r="A1385" s="626"/>
      <c r="B1385" s="637"/>
      <c r="C1385" s="637"/>
      <c r="D1385" s="637"/>
      <c r="E1385" s="637"/>
      <c r="F1385" s="637"/>
      <c r="G1385" s="637"/>
      <c r="H1385" s="637"/>
      <c r="I1385" s="637"/>
      <c r="J1385" s="637"/>
    </row>
    <row r="1386" spans="1:10" x14ac:dyDescent="0.2">
      <c r="A1386" s="626"/>
      <c r="B1386" s="637"/>
      <c r="C1386" s="637"/>
      <c r="D1386" s="637"/>
      <c r="E1386" s="637"/>
      <c r="F1386" s="637"/>
      <c r="G1386" s="637"/>
      <c r="H1386" s="637"/>
      <c r="I1386" s="637"/>
      <c r="J1386" s="637"/>
    </row>
    <row r="1387" spans="1:10" x14ac:dyDescent="0.2">
      <c r="A1387" s="626"/>
      <c r="B1387" s="637"/>
      <c r="C1387" s="637"/>
      <c r="D1387" s="637"/>
      <c r="E1387" s="637"/>
      <c r="F1387" s="637"/>
      <c r="G1387" s="637"/>
      <c r="H1387" s="637"/>
      <c r="I1387" s="637"/>
      <c r="J1387" s="637"/>
    </row>
    <row r="1388" spans="1:10" x14ac:dyDescent="0.2">
      <c r="A1388" s="626"/>
      <c r="B1388" s="637"/>
      <c r="C1388" s="637"/>
      <c r="D1388" s="637"/>
      <c r="E1388" s="637"/>
      <c r="F1388" s="637"/>
      <c r="G1388" s="637"/>
      <c r="H1388" s="637"/>
      <c r="I1388" s="637"/>
      <c r="J1388" s="637"/>
    </row>
    <row r="1389" spans="1:10" x14ac:dyDescent="0.2">
      <c r="A1389" s="626"/>
      <c r="B1389" s="637"/>
      <c r="C1389" s="637"/>
      <c r="D1389" s="637"/>
      <c r="E1389" s="637"/>
      <c r="F1389" s="637"/>
      <c r="G1389" s="637"/>
      <c r="H1389" s="637"/>
      <c r="I1389" s="637"/>
      <c r="J1389" s="637"/>
    </row>
    <row r="1390" spans="1:10" x14ac:dyDescent="0.2">
      <c r="A1390" s="626"/>
      <c r="B1390" s="637"/>
      <c r="C1390" s="637"/>
      <c r="D1390" s="637"/>
      <c r="E1390" s="637"/>
      <c r="F1390" s="637"/>
      <c r="G1390" s="637"/>
      <c r="H1390" s="637"/>
      <c r="I1390" s="637"/>
      <c r="J1390" s="637"/>
    </row>
    <row r="1391" spans="1:10" x14ac:dyDescent="0.2">
      <c r="A1391" s="626"/>
      <c r="B1391" s="637"/>
      <c r="C1391" s="637"/>
      <c r="D1391" s="637"/>
      <c r="E1391" s="637"/>
      <c r="F1391" s="637"/>
      <c r="G1391" s="637"/>
      <c r="H1391" s="637"/>
      <c r="I1391" s="637"/>
      <c r="J1391" s="637"/>
    </row>
    <row r="1392" spans="1:10" x14ac:dyDescent="0.2">
      <c r="A1392" s="626"/>
      <c r="B1392" s="637"/>
      <c r="C1392" s="637"/>
      <c r="D1392" s="637"/>
      <c r="E1392" s="637"/>
      <c r="F1392" s="637"/>
      <c r="G1392" s="637"/>
      <c r="H1392" s="637"/>
      <c r="I1392" s="637"/>
      <c r="J1392" s="637"/>
    </row>
    <row r="1393" spans="1:10" x14ac:dyDescent="0.2">
      <c r="A1393" s="626"/>
      <c r="B1393" s="637"/>
      <c r="C1393" s="637"/>
      <c r="D1393" s="637"/>
      <c r="E1393" s="637"/>
      <c r="F1393" s="637"/>
      <c r="G1393" s="637"/>
      <c r="H1393" s="637"/>
      <c r="I1393" s="637"/>
      <c r="J1393" s="637"/>
    </row>
    <row r="1394" spans="1:10" x14ac:dyDescent="0.2">
      <c r="A1394" s="626"/>
      <c r="B1394" s="637"/>
      <c r="C1394" s="637"/>
      <c r="D1394" s="637"/>
      <c r="E1394" s="637"/>
      <c r="F1394" s="637"/>
      <c r="G1394" s="637"/>
      <c r="H1394" s="637"/>
      <c r="I1394" s="637"/>
      <c r="J1394" s="637"/>
    </row>
    <row r="1395" spans="1:10" x14ac:dyDescent="0.2">
      <c r="A1395" s="626"/>
      <c r="B1395" s="637"/>
      <c r="C1395" s="637"/>
      <c r="D1395" s="637"/>
      <c r="E1395" s="637"/>
      <c r="F1395" s="637"/>
      <c r="G1395" s="637"/>
      <c r="H1395" s="637"/>
      <c r="I1395" s="637"/>
      <c r="J1395" s="637"/>
    </row>
    <row r="1396" spans="1:10" x14ac:dyDescent="0.2">
      <c r="A1396" s="626"/>
      <c r="B1396" s="637"/>
      <c r="C1396" s="637"/>
      <c r="D1396" s="637"/>
      <c r="E1396" s="637"/>
      <c r="F1396" s="637"/>
      <c r="G1396" s="637"/>
      <c r="H1396" s="637"/>
      <c r="I1396" s="637"/>
      <c r="J1396" s="637"/>
    </row>
    <row r="1397" spans="1:10" x14ac:dyDescent="0.2">
      <c r="A1397" s="626"/>
      <c r="B1397" s="637"/>
      <c r="C1397" s="637"/>
      <c r="D1397" s="637"/>
      <c r="E1397" s="637"/>
      <c r="F1397" s="637"/>
      <c r="G1397" s="637"/>
      <c r="H1397" s="637"/>
      <c r="I1397" s="637"/>
      <c r="J1397" s="637"/>
    </row>
    <row r="1398" spans="1:10" x14ac:dyDescent="0.2">
      <c r="A1398" s="626"/>
      <c r="B1398" s="637"/>
      <c r="C1398" s="637"/>
      <c r="D1398" s="637"/>
      <c r="E1398" s="637"/>
      <c r="F1398" s="637"/>
      <c r="G1398" s="637"/>
      <c r="H1398" s="637"/>
      <c r="I1398" s="637"/>
      <c r="J1398" s="637"/>
    </row>
    <row r="1399" spans="1:10" x14ac:dyDescent="0.2">
      <c r="A1399" s="626"/>
      <c r="B1399" s="637"/>
      <c r="C1399" s="637"/>
      <c r="D1399" s="637"/>
      <c r="E1399" s="637"/>
      <c r="F1399" s="637"/>
      <c r="G1399" s="637"/>
      <c r="H1399" s="637"/>
      <c r="I1399" s="637"/>
      <c r="J1399" s="637"/>
    </row>
    <row r="1400" spans="1:10" x14ac:dyDescent="0.2">
      <c r="A1400" s="626"/>
      <c r="B1400" s="637"/>
      <c r="C1400" s="637"/>
      <c r="D1400" s="637"/>
      <c r="E1400" s="637"/>
      <c r="F1400" s="637"/>
      <c r="G1400" s="637"/>
      <c r="H1400" s="637"/>
      <c r="I1400" s="637"/>
      <c r="J1400" s="637"/>
    </row>
    <row r="1401" spans="1:10" x14ac:dyDescent="0.2">
      <c r="A1401" s="626"/>
      <c r="B1401" s="637"/>
      <c r="C1401" s="637"/>
      <c r="D1401" s="637"/>
      <c r="E1401" s="637"/>
      <c r="F1401" s="637"/>
      <c r="G1401" s="637"/>
      <c r="H1401" s="637"/>
      <c r="I1401" s="637"/>
      <c r="J1401" s="637"/>
    </row>
    <row r="1402" spans="1:10" x14ac:dyDescent="0.2">
      <c r="A1402" s="626"/>
      <c r="B1402" s="637"/>
      <c r="C1402" s="637"/>
      <c r="D1402" s="637"/>
      <c r="E1402" s="637"/>
      <c r="F1402" s="637"/>
      <c r="G1402" s="637"/>
      <c r="H1402" s="637"/>
      <c r="I1402" s="637"/>
      <c r="J1402" s="637"/>
    </row>
    <row r="1403" spans="1:10" x14ac:dyDescent="0.2">
      <c r="A1403" s="626"/>
      <c r="B1403" s="637"/>
      <c r="C1403" s="637"/>
      <c r="D1403" s="637"/>
      <c r="E1403" s="637"/>
      <c r="F1403" s="637"/>
      <c r="G1403" s="637"/>
      <c r="H1403" s="637"/>
      <c r="I1403" s="637"/>
      <c r="J1403" s="637"/>
    </row>
    <row r="1404" spans="1:10" x14ac:dyDescent="0.2">
      <c r="A1404" s="626"/>
      <c r="B1404" s="637"/>
      <c r="C1404" s="637"/>
      <c r="D1404" s="637"/>
      <c r="E1404" s="637"/>
      <c r="F1404" s="637"/>
      <c r="G1404" s="637"/>
      <c r="H1404" s="637"/>
      <c r="I1404" s="637"/>
      <c r="J1404" s="637"/>
    </row>
    <row r="1405" spans="1:10" x14ac:dyDescent="0.2">
      <c r="A1405" s="626"/>
      <c r="B1405" s="637"/>
      <c r="C1405" s="637"/>
      <c r="D1405" s="637"/>
      <c r="E1405" s="637"/>
      <c r="F1405" s="637"/>
      <c r="G1405" s="637"/>
      <c r="H1405" s="637"/>
      <c r="I1405" s="637"/>
      <c r="J1405" s="637"/>
    </row>
    <row r="1406" spans="1:10" x14ac:dyDescent="0.2">
      <c r="A1406" s="626"/>
      <c r="B1406" s="637"/>
      <c r="C1406" s="637"/>
      <c r="D1406" s="637"/>
      <c r="E1406" s="637"/>
      <c r="F1406" s="637"/>
      <c r="G1406" s="637"/>
      <c r="H1406" s="637"/>
      <c r="I1406" s="637"/>
      <c r="J1406" s="637"/>
    </row>
    <row r="1407" spans="1:10" x14ac:dyDescent="0.2">
      <c r="A1407" s="626"/>
      <c r="B1407" s="637"/>
      <c r="C1407" s="637"/>
      <c r="D1407" s="637"/>
      <c r="E1407" s="637"/>
      <c r="F1407" s="637"/>
      <c r="G1407" s="637"/>
      <c r="H1407" s="637"/>
      <c r="I1407" s="637"/>
      <c r="J1407" s="637"/>
    </row>
    <row r="1408" spans="1:10" x14ac:dyDescent="0.2">
      <c r="A1408" s="626"/>
      <c r="B1408" s="637"/>
      <c r="C1408" s="637"/>
      <c r="D1408" s="637"/>
      <c r="E1408" s="637"/>
      <c r="F1408" s="637"/>
      <c r="G1408" s="637"/>
      <c r="H1408" s="637"/>
      <c r="I1408" s="637"/>
      <c r="J1408" s="637"/>
    </row>
    <row r="1409" spans="1:10" x14ac:dyDescent="0.2">
      <c r="A1409" s="626"/>
      <c r="B1409" s="637"/>
      <c r="C1409" s="637"/>
      <c r="D1409" s="637"/>
      <c r="E1409" s="637"/>
      <c r="F1409" s="637"/>
      <c r="G1409" s="637"/>
      <c r="H1409" s="637"/>
      <c r="I1409" s="637"/>
      <c r="J1409" s="637"/>
    </row>
    <row r="1410" spans="1:10" x14ac:dyDescent="0.2">
      <c r="A1410" s="626"/>
      <c r="B1410" s="637"/>
      <c r="C1410" s="637"/>
      <c r="D1410" s="637"/>
      <c r="E1410" s="637"/>
      <c r="F1410" s="637"/>
      <c r="G1410" s="637"/>
      <c r="H1410" s="637"/>
      <c r="I1410" s="637"/>
      <c r="J1410" s="637"/>
    </row>
    <row r="1411" spans="1:10" x14ac:dyDescent="0.2">
      <c r="A1411" s="626"/>
      <c r="B1411" s="637"/>
      <c r="C1411" s="637"/>
      <c r="D1411" s="637"/>
      <c r="E1411" s="637"/>
      <c r="F1411" s="637"/>
      <c r="G1411" s="637"/>
      <c r="H1411" s="637"/>
      <c r="I1411" s="637"/>
      <c r="J1411" s="637"/>
    </row>
    <row r="1412" spans="1:10" x14ac:dyDescent="0.2">
      <c r="A1412" s="626"/>
      <c r="B1412" s="637"/>
      <c r="C1412" s="637"/>
      <c r="D1412" s="637"/>
      <c r="E1412" s="637"/>
      <c r="F1412" s="637"/>
      <c r="G1412" s="637"/>
      <c r="H1412" s="637"/>
      <c r="I1412" s="637"/>
      <c r="J1412" s="637"/>
    </row>
    <row r="1413" spans="1:10" x14ac:dyDescent="0.2">
      <c r="A1413" s="626"/>
      <c r="B1413" s="637"/>
      <c r="C1413" s="637"/>
      <c r="D1413" s="637"/>
      <c r="E1413" s="637"/>
      <c r="F1413" s="637"/>
      <c r="G1413" s="637"/>
      <c r="H1413" s="637"/>
      <c r="I1413" s="637"/>
      <c r="J1413" s="637"/>
    </row>
    <row r="1414" spans="1:10" x14ac:dyDescent="0.2">
      <c r="A1414" s="626"/>
      <c r="B1414" s="637"/>
      <c r="C1414" s="637"/>
      <c r="D1414" s="637"/>
      <c r="E1414" s="637"/>
      <c r="F1414" s="637"/>
      <c r="G1414" s="637"/>
      <c r="H1414" s="637"/>
      <c r="I1414" s="637"/>
      <c r="J1414" s="637"/>
    </row>
    <row r="1415" spans="1:10" x14ac:dyDescent="0.2">
      <c r="A1415" s="626"/>
      <c r="B1415" s="637"/>
      <c r="C1415" s="637"/>
      <c r="D1415" s="637"/>
      <c r="E1415" s="637"/>
      <c r="F1415" s="637"/>
      <c r="G1415" s="637"/>
      <c r="H1415" s="637"/>
      <c r="I1415" s="637"/>
      <c r="J1415" s="637"/>
    </row>
    <row r="1416" spans="1:10" x14ac:dyDescent="0.2">
      <c r="A1416" s="626"/>
      <c r="B1416" s="637"/>
      <c r="C1416" s="637"/>
      <c r="D1416" s="637"/>
      <c r="E1416" s="637"/>
      <c r="F1416" s="637"/>
      <c r="G1416" s="637"/>
      <c r="H1416" s="637"/>
      <c r="I1416" s="637"/>
      <c r="J1416" s="637"/>
    </row>
    <row r="1417" spans="1:10" x14ac:dyDescent="0.2">
      <c r="A1417" s="626"/>
      <c r="B1417" s="637"/>
      <c r="C1417" s="637"/>
      <c r="D1417" s="637"/>
      <c r="E1417" s="637"/>
      <c r="F1417" s="637"/>
      <c r="G1417" s="637"/>
      <c r="H1417" s="637"/>
      <c r="I1417" s="637"/>
      <c r="J1417" s="637"/>
    </row>
    <row r="1418" spans="1:10" x14ac:dyDescent="0.2">
      <c r="A1418" s="626"/>
      <c r="B1418" s="637"/>
      <c r="C1418" s="637"/>
      <c r="D1418" s="637"/>
      <c r="E1418" s="637"/>
      <c r="F1418" s="637"/>
      <c r="G1418" s="637"/>
      <c r="H1418" s="637"/>
      <c r="I1418" s="637"/>
      <c r="J1418" s="637"/>
    </row>
    <row r="1419" spans="1:10" x14ac:dyDescent="0.2">
      <c r="A1419" s="626"/>
      <c r="B1419" s="637"/>
      <c r="C1419" s="637"/>
      <c r="D1419" s="637"/>
      <c r="E1419" s="637"/>
      <c r="F1419" s="637"/>
      <c r="G1419" s="637"/>
      <c r="H1419" s="637"/>
      <c r="I1419" s="637"/>
      <c r="J1419" s="637"/>
    </row>
    <row r="1420" spans="1:10" x14ac:dyDescent="0.2">
      <c r="A1420" s="626"/>
      <c r="B1420" s="637"/>
      <c r="C1420" s="637"/>
      <c r="D1420" s="637"/>
      <c r="E1420" s="637"/>
      <c r="F1420" s="637"/>
      <c r="G1420" s="637"/>
      <c r="H1420" s="637"/>
      <c r="I1420" s="637"/>
      <c r="J1420" s="637"/>
    </row>
    <row r="1421" spans="1:10" x14ac:dyDescent="0.2">
      <c r="A1421" s="626"/>
      <c r="B1421" s="637"/>
      <c r="C1421" s="637"/>
      <c r="D1421" s="637"/>
      <c r="E1421" s="637"/>
      <c r="F1421" s="637"/>
      <c r="G1421" s="637"/>
      <c r="H1421" s="637"/>
      <c r="I1421" s="637"/>
      <c r="J1421" s="637"/>
    </row>
    <row r="1422" spans="1:10" x14ac:dyDescent="0.2">
      <c r="A1422" s="626"/>
      <c r="B1422" s="637"/>
      <c r="C1422" s="637"/>
      <c r="D1422" s="637"/>
      <c r="E1422" s="637"/>
      <c r="F1422" s="637"/>
      <c r="G1422" s="637"/>
      <c r="H1422" s="637"/>
      <c r="I1422" s="637"/>
      <c r="J1422" s="637"/>
    </row>
    <row r="1423" spans="1:10" x14ac:dyDescent="0.2">
      <c r="A1423" s="626"/>
      <c r="B1423" s="637"/>
      <c r="C1423" s="637"/>
      <c r="D1423" s="637"/>
      <c r="E1423" s="637"/>
      <c r="F1423" s="637"/>
      <c r="G1423" s="637"/>
      <c r="H1423" s="637"/>
      <c r="I1423" s="637"/>
      <c r="J1423" s="637"/>
    </row>
    <row r="1424" spans="1:10" x14ac:dyDescent="0.2">
      <c r="A1424" s="626"/>
      <c r="B1424" s="637"/>
      <c r="C1424" s="637"/>
      <c r="D1424" s="637"/>
      <c r="E1424" s="637"/>
      <c r="F1424" s="637"/>
      <c r="G1424" s="637"/>
      <c r="H1424" s="637"/>
      <c r="I1424" s="637"/>
      <c r="J1424" s="637"/>
    </row>
    <row r="1425" spans="1:10" x14ac:dyDescent="0.2">
      <c r="A1425" s="626"/>
      <c r="B1425" s="637"/>
      <c r="C1425" s="637"/>
      <c r="D1425" s="637"/>
      <c r="E1425" s="637"/>
      <c r="F1425" s="637"/>
      <c r="G1425" s="637"/>
      <c r="H1425" s="637"/>
      <c r="I1425" s="637"/>
      <c r="J1425" s="637"/>
    </row>
    <row r="1426" spans="1:10" x14ac:dyDescent="0.2">
      <c r="A1426" s="626"/>
      <c r="B1426" s="637"/>
      <c r="C1426" s="637"/>
      <c r="D1426" s="637"/>
      <c r="E1426" s="637"/>
      <c r="F1426" s="637"/>
      <c r="G1426" s="637"/>
      <c r="H1426" s="637"/>
      <c r="I1426" s="637"/>
      <c r="J1426" s="637"/>
    </row>
    <row r="1427" spans="1:10" x14ac:dyDescent="0.2">
      <c r="A1427" s="626"/>
      <c r="B1427" s="637"/>
      <c r="C1427" s="637"/>
      <c r="D1427" s="637"/>
      <c r="E1427" s="637"/>
      <c r="F1427" s="637"/>
      <c r="G1427" s="637"/>
      <c r="H1427" s="637"/>
      <c r="I1427" s="637"/>
      <c r="J1427" s="637"/>
    </row>
    <row r="1428" spans="1:10" x14ac:dyDescent="0.2">
      <c r="A1428" s="626"/>
      <c r="B1428" s="637"/>
      <c r="C1428" s="637"/>
      <c r="D1428" s="637"/>
      <c r="E1428" s="637"/>
      <c r="F1428" s="637"/>
      <c r="G1428" s="637"/>
      <c r="H1428" s="637"/>
      <c r="I1428" s="637"/>
      <c r="J1428" s="637"/>
    </row>
    <row r="1429" spans="1:10" x14ac:dyDescent="0.2">
      <c r="A1429" s="626"/>
      <c r="B1429" s="637"/>
      <c r="C1429" s="637"/>
      <c r="D1429" s="637"/>
      <c r="E1429" s="637"/>
      <c r="F1429" s="637"/>
      <c r="G1429" s="637"/>
      <c r="H1429" s="637"/>
      <c r="I1429" s="637"/>
      <c r="J1429" s="637"/>
    </row>
    <row r="1430" spans="1:10" x14ac:dyDescent="0.2">
      <c r="A1430" s="626"/>
      <c r="B1430" s="637"/>
      <c r="C1430" s="637"/>
      <c r="D1430" s="637"/>
      <c r="E1430" s="637"/>
      <c r="F1430" s="637"/>
      <c r="G1430" s="637"/>
      <c r="H1430" s="637"/>
      <c r="I1430" s="637"/>
      <c r="J1430" s="637"/>
    </row>
    <row r="1431" spans="1:10" x14ac:dyDescent="0.2">
      <c r="A1431" s="626"/>
      <c r="B1431" s="637"/>
      <c r="C1431" s="637"/>
      <c r="D1431" s="637"/>
      <c r="E1431" s="637"/>
      <c r="F1431" s="637"/>
      <c r="G1431" s="637"/>
      <c r="H1431" s="637"/>
      <c r="I1431" s="637"/>
      <c r="J1431" s="637"/>
    </row>
    <row r="1432" spans="1:10" x14ac:dyDescent="0.2">
      <c r="A1432" s="626"/>
      <c r="B1432" s="637"/>
      <c r="C1432" s="637"/>
      <c r="D1432" s="637"/>
      <c r="E1432" s="637"/>
      <c r="F1432" s="637"/>
      <c r="G1432" s="637"/>
      <c r="H1432" s="637"/>
      <c r="I1432" s="637"/>
      <c r="J1432" s="637"/>
    </row>
    <row r="1433" spans="1:10" x14ac:dyDescent="0.2">
      <c r="A1433" s="626"/>
      <c r="B1433" s="637"/>
      <c r="C1433" s="637"/>
      <c r="D1433" s="637"/>
      <c r="E1433" s="637"/>
      <c r="F1433" s="637"/>
      <c r="G1433" s="637"/>
      <c r="H1433" s="637"/>
      <c r="I1433" s="637"/>
      <c r="J1433" s="637"/>
    </row>
    <row r="1434" spans="1:10" x14ac:dyDescent="0.2">
      <c r="A1434" s="626"/>
      <c r="B1434" s="637"/>
      <c r="C1434" s="637"/>
      <c r="D1434" s="637"/>
      <c r="E1434" s="637"/>
      <c r="F1434" s="637"/>
      <c r="G1434" s="637"/>
      <c r="H1434" s="637"/>
      <c r="I1434" s="637"/>
      <c r="J1434" s="637"/>
    </row>
    <row r="1435" spans="1:10" x14ac:dyDescent="0.2">
      <c r="A1435" s="626"/>
      <c r="B1435" s="637"/>
      <c r="C1435" s="637"/>
      <c r="D1435" s="637"/>
      <c r="E1435" s="637"/>
      <c r="F1435" s="637"/>
      <c r="G1435" s="637"/>
      <c r="H1435" s="637"/>
      <c r="I1435" s="637"/>
      <c r="J1435" s="637"/>
    </row>
    <row r="1436" spans="1:10" x14ac:dyDescent="0.2">
      <c r="A1436" s="626"/>
      <c r="B1436" s="637"/>
      <c r="C1436" s="637"/>
      <c r="D1436" s="637"/>
      <c r="E1436" s="637"/>
      <c r="F1436" s="637"/>
      <c r="G1436" s="637"/>
      <c r="H1436" s="637"/>
      <c r="I1436" s="637"/>
      <c r="J1436" s="637"/>
    </row>
    <row r="1437" spans="1:10" x14ac:dyDescent="0.2">
      <c r="A1437" s="626"/>
      <c r="B1437" s="637"/>
      <c r="C1437" s="637"/>
      <c r="D1437" s="637"/>
      <c r="E1437" s="637"/>
      <c r="F1437" s="637"/>
      <c r="G1437" s="637"/>
      <c r="H1437" s="637"/>
      <c r="I1437" s="637"/>
      <c r="J1437" s="637"/>
    </row>
    <row r="1438" spans="1:10" x14ac:dyDescent="0.2">
      <c r="A1438" s="626"/>
      <c r="B1438" s="637"/>
      <c r="C1438" s="637"/>
      <c r="D1438" s="637"/>
      <c r="E1438" s="637"/>
      <c r="F1438" s="637"/>
      <c r="G1438" s="637"/>
      <c r="H1438" s="637"/>
      <c r="I1438" s="637"/>
      <c r="J1438" s="637"/>
    </row>
    <row r="1439" spans="1:10" x14ac:dyDescent="0.2">
      <c r="A1439" s="626"/>
      <c r="B1439" s="637"/>
      <c r="C1439" s="637"/>
      <c r="D1439" s="637"/>
      <c r="E1439" s="637"/>
      <c r="F1439" s="637"/>
      <c r="G1439" s="637"/>
      <c r="H1439" s="637"/>
      <c r="I1439" s="637"/>
      <c r="J1439" s="637"/>
    </row>
    <row r="1440" spans="1:10" x14ac:dyDescent="0.2">
      <c r="A1440" s="626"/>
      <c r="B1440" s="637"/>
      <c r="C1440" s="637"/>
      <c r="D1440" s="637"/>
      <c r="E1440" s="637"/>
      <c r="F1440" s="637"/>
      <c r="G1440" s="637"/>
      <c r="H1440" s="637"/>
      <c r="I1440" s="637"/>
      <c r="J1440" s="637"/>
    </row>
    <row r="1441" spans="1:10" x14ac:dyDescent="0.2">
      <c r="A1441" s="626"/>
      <c r="B1441" s="637"/>
      <c r="C1441" s="637"/>
      <c r="D1441" s="637"/>
      <c r="E1441" s="637"/>
      <c r="F1441" s="637"/>
      <c r="G1441" s="637"/>
      <c r="H1441" s="637"/>
      <c r="I1441" s="637"/>
      <c r="J1441" s="637"/>
    </row>
    <row r="1442" spans="1:10" x14ac:dyDescent="0.2">
      <c r="A1442" s="626"/>
      <c r="B1442" s="637"/>
      <c r="C1442" s="637"/>
      <c r="D1442" s="637"/>
      <c r="E1442" s="637"/>
      <c r="F1442" s="637"/>
      <c r="G1442" s="637"/>
      <c r="H1442" s="637"/>
      <c r="I1442" s="637"/>
      <c r="J1442" s="637"/>
    </row>
    <row r="1443" spans="1:10" x14ac:dyDescent="0.2">
      <c r="A1443" s="626"/>
      <c r="B1443" s="637"/>
      <c r="C1443" s="637"/>
      <c r="D1443" s="637"/>
      <c r="E1443" s="637"/>
      <c r="F1443" s="637"/>
      <c r="G1443" s="637"/>
      <c r="H1443" s="637"/>
      <c r="I1443" s="637"/>
      <c r="J1443" s="637"/>
    </row>
    <row r="1444" spans="1:10" x14ac:dyDescent="0.2">
      <c r="A1444" s="626"/>
      <c r="B1444" s="637"/>
      <c r="C1444" s="637"/>
      <c r="D1444" s="637"/>
      <c r="E1444" s="637"/>
      <c r="F1444" s="637"/>
      <c r="G1444" s="637"/>
      <c r="H1444" s="637"/>
      <c r="I1444" s="637"/>
      <c r="J1444" s="637"/>
    </row>
    <row r="1445" spans="1:10" x14ac:dyDescent="0.2">
      <c r="A1445" s="626"/>
      <c r="B1445" s="637"/>
      <c r="C1445" s="637"/>
      <c r="D1445" s="637"/>
      <c r="E1445" s="637"/>
      <c r="F1445" s="637"/>
      <c r="G1445" s="637"/>
      <c r="H1445" s="637"/>
      <c r="I1445" s="637"/>
      <c r="J1445" s="637"/>
    </row>
    <row r="1446" spans="1:10" x14ac:dyDescent="0.2">
      <c r="A1446" s="626"/>
      <c r="B1446" s="637"/>
      <c r="C1446" s="637"/>
      <c r="D1446" s="637"/>
      <c r="E1446" s="637"/>
      <c r="F1446" s="637"/>
      <c r="G1446" s="637"/>
      <c r="H1446" s="637"/>
      <c r="I1446" s="637"/>
      <c r="J1446" s="637"/>
    </row>
    <row r="1447" spans="1:10" x14ac:dyDescent="0.2">
      <c r="A1447" s="626"/>
      <c r="B1447" s="637"/>
      <c r="C1447" s="637"/>
      <c r="D1447" s="637"/>
      <c r="E1447" s="637"/>
      <c r="F1447" s="637"/>
      <c r="G1447" s="637"/>
      <c r="H1447" s="637"/>
      <c r="I1447" s="637"/>
      <c r="J1447" s="637"/>
    </row>
    <row r="1448" spans="1:10" x14ac:dyDescent="0.2">
      <c r="A1448" s="626"/>
      <c r="B1448" s="637"/>
      <c r="C1448" s="637"/>
      <c r="D1448" s="637"/>
      <c r="E1448" s="637"/>
      <c r="F1448" s="637"/>
      <c r="G1448" s="637"/>
      <c r="H1448" s="637"/>
      <c r="I1448" s="637"/>
      <c r="J1448" s="637"/>
    </row>
    <row r="1449" spans="1:10" x14ac:dyDescent="0.2">
      <c r="A1449" s="626"/>
      <c r="B1449" s="637"/>
      <c r="C1449" s="637"/>
      <c r="D1449" s="637"/>
      <c r="E1449" s="637"/>
      <c r="F1449" s="637"/>
      <c r="G1449" s="637"/>
      <c r="H1449" s="637"/>
      <c r="I1449" s="637"/>
      <c r="J1449" s="637"/>
    </row>
    <row r="1450" spans="1:10" x14ac:dyDescent="0.2">
      <c r="A1450" s="626"/>
      <c r="B1450" s="637"/>
      <c r="C1450" s="637"/>
      <c r="D1450" s="637"/>
      <c r="E1450" s="637"/>
      <c r="F1450" s="637"/>
      <c r="G1450" s="637"/>
      <c r="H1450" s="637"/>
      <c r="I1450" s="637"/>
      <c r="J1450" s="637"/>
    </row>
    <row r="1451" spans="1:10" x14ac:dyDescent="0.2">
      <c r="A1451" s="626"/>
      <c r="B1451" s="637"/>
      <c r="C1451" s="637"/>
      <c r="D1451" s="637"/>
      <c r="E1451" s="637"/>
      <c r="F1451" s="637"/>
      <c r="G1451" s="637"/>
      <c r="H1451" s="637"/>
      <c r="I1451" s="637"/>
      <c r="J1451" s="637"/>
    </row>
    <row r="1452" spans="1:10" x14ac:dyDescent="0.2">
      <c r="A1452" s="626"/>
      <c r="B1452" s="637"/>
      <c r="C1452" s="637"/>
      <c r="D1452" s="637"/>
      <c r="E1452" s="637"/>
      <c r="F1452" s="637"/>
      <c r="G1452" s="637"/>
      <c r="H1452" s="637"/>
      <c r="I1452" s="637"/>
      <c r="J1452" s="637"/>
    </row>
    <row r="1453" spans="1:10" x14ac:dyDescent="0.2">
      <c r="A1453" s="626"/>
      <c r="B1453" s="637"/>
      <c r="C1453" s="637"/>
      <c r="D1453" s="637"/>
      <c r="E1453" s="637"/>
      <c r="F1453" s="637"/>
      <c r="G1453" s="637"/>
      <c r="H1453" s="637"/>
      <c r="I1453" s="637"/>
      <c r="J1453" s="637"/>
    </row>
    <row r="1454" spans="1:10" x14ac:dyDescent="0.2">
      <c r="A1454" s="626"/>
      <c r="B1454" s="637"/>
      <c r="C1454" s="637"/>
      <c r="D1454" s="637"/>
      <c r="E1454" s="637"/>
      <c r="F1454" s="637"/>
      <c r="G1454" s="637"/>
      <c r="H1454" s="637"/>
      <c r="I1454" s="637"/>
      <c r="J1454" s="637"/>
    </row>
    <row r="1455" spans="1:10" x14ac:dyDescent="0.2">
      <c r="A1455" s="626"/>
      <c r="B1455" s="637"/>
      <c r="C1455" s="637"/>
      <c r="D1455" s="637"/>
      <c r="E1455" s="637"/>
      <c r="F1455" s="637"/>
      <c r="G1455" s="637"/>
      <c r="H1455" s="637"/>
      <c r="I1455" s="637"/>
      <c r="J1455" s="637"/>
    </row>
    <row r="1456" spans="1:10" x14ac:dyDescent="0.2">
      <c r="A1456" s="626"/>
      <c r="B1456" s="637"/>
      <c r="C1456" s="637"/>
      <c r="D1456" s="637"/>
      <c r="E1456" s="637"/>
      <c r="F1456" s="637"/>
      <c r="G1456" s="637"/>
      <c r="H1456" s="637"/>
      <c r="I1456" s="637"/>
      <c r="J1456" s="637"/>
    </row>
    <row r="1457" spans="1:10" x14ac:dyDescent="0.2">
      <c r="A1457" s="626"/>
      <c r="B1457" s="637"/>
      <c r="C1457" s="637"/>
      <c r="D1457" s="637"/>
      <c r="E1457" s="637"/>
      <c r="F1457" s="637"/>
      <c r="G1457" s="637"/>
      <c r="H1457" s="637"/>
      <c r="I1457" s="637"/>
      <c r="J1457" s="637"/>
    </row>
    <row r="1458" spans="1:10" x14ac:dyDescent="0.2">
      <c r="A1458" s="626"/>
      <c r="B1458" s="637"/>
      <c r="C1458" s="637"/>
      <c r="D1458" s="637"/>
      <c r="E1458" s="637"/>
      <c r="F1458" s="637"/>
      <c r="G1458" s="637"/>
      <c r="H1458" s="637"/>
      <c r="I1458" s="637"/>
      <c r="J1458" s="637"/>
    </row>
    <row r="1459" spans="1:10" x14ac:dyDescent="0.2">
      <c r="A1459" s="626"/>
      <c r="B1459" s="637"/>
      <c r="C1459" s="637"/>
      <c r="D1459" s="637"/>
      <c r="E1459" s="637"/>
      <c r="F1459" s="637"/>
      <c r="G1459" s="637"/>
      <c r="H1459" s="637"/>
      <c r="I1459" s="637"/>
      <c r="J1459" s="637"/>
    </row>
    <row r="1460" spans="1:10" x14ac:dyDescent="0.2">
      <c r="A1460" s="626"/>
      <c r="B1460" s="637"/>
      <c r="C1460" s="637"/>
      <c r="D1460" s="637"/>
      <c r="E1460" s="637"/>
      <c r="F1460" s="637"/>
      <c r="G1460" s="637"/>
      <c r="H1460" s="637"/>
      <c r="I1460" s="637"/>
      <c r="J1460" s="637"/>
    </row>
    <row r="1461" spans="1:10" x14ac:dyDescent="0.2">
      <c r="A1461" s="626"/>
      <c r="B1461" s="637"/>
      <c r="C1461" s="637"/>
      <c r="D1461" s="637"/>
      <c r="E1461" s="637"/>
      <c r="F1461" s="637"/>
      <c r="G1461" s="637"/>
      <c r="H1461" s="637"/>
      <c r="I1461" s="637"/>
      <c r="J1461" s="637"/>
    </row>
    <row r="1462" spans="1:10" x14ac:dyDescent="0.2">
      <c r="A1462" s="626"/>
      <c r="B1462" s="637"/>
      <c r="C1462" s="637"/>
      <c r="D1462" s="637"/>
      <c r="E1462" s="637"/>
      <c r="F1462" s="637"/>
      <c r="G1462" s="637"/>
      <c r="H1462" s="637"/>
      <c r="I1462" s="637"/>
      <c r="J1462" s="637"/>
    </row>
    <row r="1463" spans="1:10" x14ac:dyDescent="0.2">
      <c r="A1463" s="626"/>
      <c r="B1463" s="637"/>
      <c r="C1463" s="637"/>
      <c r="D1463" s="637"/>
      <c r="E1463" s="637"/>
      <c r="F1463" s="637"/>
      <c r="G1463" s="637"/>
      <c r="H1463" s="637"/>
      <c r="I1463" s="637"/>
      <c r="J1463" s="637"/>
    </row>
    <row r="1464" spans="1:10" x14ac:dyDescent="0.2">
      <c r="A1464" s="626"/>
      <c r="B1464" s="637"/>
      <c r="C1464" s="637"/>
      <c r="D1464" s="637"/>
      <c r="E1464" s="637"/>
      <c r="F1464" s="637"/>
      <c r="G1464" s="637"/>
      <c r="H1464" s="637"/>
      <c r="I1464" s="637"/>
      <c r="J1464" s="637"/>
    </row>
    <row r="1465" spans="1:10" x14ac:dyDescent="0.2">
      <c r="A1465" s="626"/>
      <c r="B1465" s="637"/>
      <c r="C1465" s="637"/>
      <c r="D1465" s="637"/>
      <c r="E1465" s="637"/>
      <c r="F1465" s="637"/>
      <c r="G1465" s="637"/>
      <c r="H1465" s="637"/>
      <c r="I1465" s="637"/>
      <c r="J1465" s="637"/>
    </row>
    <row r="1466" spans="1:10" x14ac:dyDescent="0.2">
      <c r="A1466" s="626"/>
      <c r="B1466" s="637"/>
      <c r="C1466" s="637"/>
      <c r="D1466" s="637"/>
      <c r="E1466" s="637"/>
      <c r="F1466" s="637"/>
      <c r="G1466" s="637"/>
      <c r="H1466" s="637"/>
      <c r="I1466" s="637"/>
      <c r="J1466" s="637"/>
    </row>
    <row r="1467" spans="1:10" x14ac:dyDescent="0.2">
      <c r="A1467" s="626"/>
      <c r="B1467" s="637"/>
      <c r="C1467" s="637"/>
      <c r="D1467" s="637"/>
      <c r="E1467" s="637"/>
      <c r="F1467" s="637"/>
      <c r="G1467" s="637"/>
      <c r="H1467" s="637"/>
      <c r="I1467" s="637"/>
      <c r="J1467" s="637"/>
    </row>
    <row r="1468" spans="1:10" x14ac:dyDescent="0.2">
      <c r="A1468" s="626"/>
      <c r="B1468" s="637"/>
      <c r="C1468" s="637"/>
      <c r="D1468" s="637"/>
      <c r="E1468" s="637"/>
      <c r="F1468" s="637"/>
      <c r="G1468" s="637"/>
      <c r="H1468" s="637"/>
      <c r="I1468" s="637"/>
      <c r="J1468" s="637"/>
    </row>
    <row r="1469" spans="1:10" x14ac:dyDescent="0.2">
      <c r="A1469" s="626"/>
      <c r="B1469" s="637"/>
      <c r="C1469" s="637"/>
      <c r="D1469" s="637"/>
      <c r="E1469" s="637"/>
      <c r="F1469" s="637"/>
      <c r="G1469" s="637"/>
      <c r="H1469" s="637"/>
      <c r="I1469" s="637"/>
      <c r="J1469" s="637"/>
    </row>
    <row r="1470" spans="1:10" x14ac:dyDescent="0.2">
      <c r="A1470" s="626"/>
      <c r="B1470" s="637"/>
      <c r="C1470" s="637"/>
      <c r="D1470" s="637"/>
      <c r="E1470" s="637"/>
      <c r="F1470" s="637"/>
      <c r="G1470" s="637"/>
      <c r="H1470" s="637"/>
      <c r="I1470" s="637"/>
      <c r="J1470" s="637"/>
    </row>
    <row r="1471" spans="1:10" x14ac:dyDescent="0.2">
      <c r="A1471" s="626"/>
      <c r="B1471" s="637"/>
      <c r="C1471" s="637"/>
      <c r="D1471" s="637"/>
      <c r="E1471" s="637"/>
      <c r="F1471" s="637"/>
      <c r="G1471" s="637"/>
      <c r="H1471" s="637"/>
      <c r="I1471" s="637"/>
      <c r="J1471" s="637"/>
    </row>
    <row r="1472" spans="1:10" x14ac:dyDescent="0.2">
      <c r="A1472" s="626"/>
      <c r="B1472" s="637"/>
      <c r="C1472" s="637"/>
      <c r="D1472" s="637"/>
      <c r="E1472" s="637"/>
      <c r="F1472" s="637"/>
      <c r="G1472" s="637"/>
      <c r="H1472" s="637"/>
      <c r="I1472" s="637"/>
      <c r="J1472" s="637"/>
    </row>
    <row r="1473" spans="1:10" x14ac:dyDescent="0.2">
      <c r="A1473" s="626"/>
      <c r="B1473" s="637"/>
      <c r="C1473" s="637"/>
      <c r="D1473" s="637"/>
      <c r="E1473" s="637"/>
      <c r="F1473" s="637"/>
      <c r="G1473" s="637"/>
      <c r="H1473" s="637"/>
      <c r="I1473" s="637"/>
      <c r="J1473" s="637"/>
    </row>
    <row r="1474" spans="1:10" x14ac:dyDescent="0.2">
      <c r="A1474" s="626"/>
      <c r="B1474" s="637"/>
      <c r="C1474" s="637"/>
      <c r="D1474" s="637"/>
      <c r="E1474" s="637"/>
      <c r="F1474" s="637"/>
      <c r="G1474" s="637"/>
      <c r="H1474" s="637"/>
      <c r="I1474" s="637"/>
      <c r="J1474" s="637"/>
    </row>
    <row r="1475" spans="1:10" x14ac:dyDescent="0.2">
      <c r="A1475" s="626"/>
      <c r="B1475" s="637"/>
      <c r="C1475" s="637"/>
      <c r="D1475" s="637"/>
      <c r="E1475" s="637"/>
      <c r="F1475" s="637"/>
      <c r="G1475" s="637"/>
      <c r="H1475" s="637"/>
      <c r="I1475" s="637"/>
      <c r="J1475" s="637"/>
    </row>
    <row r="1476" spans="1:10" x14ac:dyDescent="0.2">
      <c r="A1476" s="626"/>
      <c r="B1476" s="637"/>
      <c r="C1476" s="637"/>
      <c r="D1476" s="637"/>
      <c r="E1476" s="637"/>
      <c r="F1476" s="637"/>
      <c r="G1476" s="637"/>
      <c r="H1476" s="637"/>
      <c r="I1476" s="637"/>
      <c r="J1476" s="637"/>
    </row>
    <row r="1477" spans="1:10" x14ac:dyDescent="0.2">
      <c r="A1477" s="626"/>
      <c r="B1477" s="637"/>
      <c r="C1477" s="637"/>
      <c r="D1477" s="637"/>
      <c r="E1477" s="637"/>
      <c r="F1477" s="637"/>
      <c r="G1477" s="637"/>
      <c r="H1477" s="637"/>
      <c r="I1477" s="637"/>
      <c r="J1477" s="637"/>
    </row>
    <row r="1478" spans="1:10" x14ac:dyDescent="0.2">
      <c r="A1478" s="626"/>
      <c r="B1478" s="637"/>
      <c r="C1478" s="637"/>
      <c r="D1478" s="637"/>
      <c r="E1478" s="637"/>
      <c r="F1478" s="637"/>
      <c r="G1478" s="637"/>
      <c r="H1478" s="637"/>
      <c r="I1478" s="637"/>
      <c r="J1478" s="637"/>
    </row>
    <row r="1479" spans="1:10" x14ac:dyDescent="0.2">
      <c r="A1479" s="626"/>
      <c r="B1479" s="637"/>
      <c r="C1479" s="637"/>
      <c r="D1479" s="637"/>
      <c r="E1479" s="637"/>
      <c r="F1479" s="637"/>
      <c r="G1479" s="637"/>
      <c r="H1479" s="637"/>
      <c r="I1479" s="637"/>
      <c r="J1479" s="637"/>
    </row>
    <row r="1480" spans="1:10" x14ac:dyDescent="0.2">
      <c r="A1480" s="626"/>
      <c r="B1480" s="637"/>
      <c r="C1480" s="637"/>
      <c r="D1480" s="637"/>
      <c r="E1480" s="637"/>
      <c r="F1480" s="637"/>
      <c r="G1480" s="637"/>
      <c r="H1480" s="637"/>
      <c r="I1480" s="637"/>
      <c r="J1480" s="637"/>
    </row>
    <row r="1481" spans="1:10" x14ac:dyDescent="0.2">
      <c r="A1481" s="626"/>
      <c r="B1481" s="637"/>
      <c r="C1481" s="637"/>
      <c r="D1481" s="637"/>
      <c r="E1481" s="637"/>
      <c r="F1481" s="637"/>
      <c r="G1481" s="637"/>
      <c r="H1481" s="637"/>
      <c r="I1481" s="637"/>
      <c r="J1481" s="637"/>
    </row>
    <row r="1482" spans="1:10" x14ac:dyDescent="0.2">
      <c r="A1482" s="626"/>
      <c r="B1482" s="637"/>
      <c r="C1482" s="637"/>
      <c r="D1482" s="637"/>
      <c r="E1482" s="637"/>
      <c r="F1482" s="637"/>
      <c r="G1482" s="637"/>
      <c r="H1482" s="637"/>
      <c r="I1482" s="637"/>
      <c r="J1482" s="637"/>
    </row>
    <row r="1483" spans="1:10" x14ac:dyDescent="0.2">
      <c r="A1483" s="626"/>
      <c r="B1483" s="637"/>
      <c r="C1483" s="637"/>
      <c r="D1483" s="637"/>
      <c r="E1483" s="637"/>
      <c r="F1483" s="637"/>
      <c r="G1483" s="637"/>
      <c r="H1483" s="637"/>
      <c r="I1483" s="637"/>
      <c r="J1483" s="637"/>
    </row>
    <row r="1484" spans="1:10" x14ac:dyDescent="0.2">
      <c r="A1484" s="626"/>
      <c r="B1484" s="637"/>
      <c r="C1484" s="637"/>
      <c r="D1484" s="637"/>
      <c r="E1484" s="637"/>
      <c r="F1484" s="637"/>
      <c r="G1484" s="637"/>
      <c r="H1484" s="637"/>
      <c r="I1484" s="637"/>
      <c r="J1484" s="637"/>
    </row>
    <row r="1485" spans="1:10" x14ac:dyDescent="0.2">
      <c r="A1485" s="626"/>
      <c r="B1485" s="637"/>
      <c r="C1485" s="637"/>
      <c r="D1485" s="637"/>
      <c r="E1485" s="637"/>
      <c r="F1485" s="637"/>
      <c r="G1485" s="637"/>
      <c r="H1485" s="637"/>
      <c r="I1485" s="637"/>
      <c r="J1485" s="637"/>
    </row>
    <row r="1486" spans="1:10" x14ac:dyDescent="0.2">
      <c r="A1486" s="626"/>
      <c r="B1486" s="637"/>
      <c r="C1486" s="637"/>
      <c r="D1486" s="637"/>
      <c r="E1486" s="637"/>
      <c r="F1486" s="637"/>
      <c r="G1486" s="637"/>
      <c r="H1486" s="637"/>
      <c r="I1486" s="637"/>
      <c r="J1486" s="637"/>
    </row>
    <row r="1487" spans="1:10" x14ac:dyDescent="0.2">
      <c r="A1487" s="626"/>
      <c r="B1487" s="637"/>
      <c r="C1487" s="637"/>
      <c r="D1487" s="637"/>
      <c r="E1487" s="637"/>
      <c r="F1487" s="637"/>
      <c r="G1487" s="637"/>
      <c r="H1487" s="637"/>
      <c r="I1487" s="637"/>
      <c r="J1487" s="637"/>
    </row>
    <row r="1488" spans="1:10" x14ac:dyDescent="0.2">
      <c r="A1488" s="626"/>
      <c r="B1488" s="637"/>
      <c r="C1488" s="637"/>
      <c r="D1488" s="637"/>
      <c r="E1488" s="637"/>
      <c r="F1488" s="637"/>
      <c r="G1488" s="637"/>
      <c r="H1488" s="637"/>
      <c r="I1488" s="637"/>
      <c r="J1488" s="637"/>
    </row>
    <row r="1489" spans="1:10" x14ac:dyDescent="0.2">
      <c r="A1489" s="626"/>
      <c r="B1489" s="637"/>
      <c r="C1489" s="637"/>
      <c r="D1489" s="637"/>
      <c r="E1489" s="637"/>
      <c r="F1489" s="637"/>
      <c r="G1489" s="637"/>
      <c r="H1489" s="637"/>
      <c r="I1489" s="637"/>
      <c r="J1489" s="637"/>
    </row>
    <row r="1490" spans="1:10" x14ac:dyDescent="0.2">
      <c r="A1490" s="626"/>
      <c r="B1490" s="637"/>
      <c r="C1490" s="637"/>
      <c r="D1490" s="637"/>
      <c r="E1490" s="637"/>
      <c r="F1490" s="637"/>
      <c r="G1490" s="637"/>
      <c r="H1490" s="637"/>
      <c r="I1490" s="637"/>
      <c r="J1490" s="637"/>
    </row>
    <row r="1491" spans="1:10" x14ac:dyDescent="0.2">
      <c r="A1491" s="626"/>
      <c r="B1491" s="637"/>
      <c r="C1491" s="637"/>
      <c r="D1491" s="637"/>
      <c r="E1491" s="637"/>
      <c r="F1491" s="637"/>
      <c r="G1491" s="637"/>
      <c r="H1491" s="637"/>
      <c r="I1491" s="637"/>
      <c r="J1491" s="637"/>
    </row>
    <row r="1492" spans="1:10" x14ac:dyDescent="0.2">
      <c r="A1492" s="626"/>
      <c r="B1492" s="637"/>
      <c r="C1492" s="637"/>
      <c r="D1492" s="637"/>
      <c r="E1492" s="637"/>
      <c r="F1492" s="637"/>
      <c r="G1492" s="637"/>
      <c r="H1492" s="637"/>
      <c r="I1492" s="637"/>
      <c r="J1492" s="637"/>
    </row>
    <row r="1493" spans="1:10" x14ac:dyDescent="0.2">
      <c r="A1493" s="626"/>
      <c r="B1493" s="637"/>
      <c r="C1493" s="637"/>
      <c r="D1493" s="637"/>
      <c r="E1493" s="637"/>
      <c r="F1493" s="637"/>
      <c r="G1493" s="637"/>
      <c r="H1493" s="637"/>
      <c r="I1493" s="637"/>
      <c r="J1493" s="637"/>
    </row>
    <row r="1494" spans="1:10" x14ac:dyDescent="0.2">
      <c r="A1494" s="626"/>
      <c r="B1494" s="637"/>
      <c r="C1494" s="637"/>
      <c r="D1494" s="637"/>
      <c r="E1494" s="637"/>
      <c r="F1494" s="637"/>
      <c r="G1494" s="637"/>
      <c r="H1494" s="637"/>
      <c r="I1494" s="637"/>
      <c r="J1494" s="637"/>
    </row>
    <row r="1495" spans="1:10" x14ac:dyDescent="0.2">
      <c r="A1495" s="626"/>
      <c r="B1495" s="637"/>
      <c r="C1495" s="637"/>
      <c r="D1495" s="637"/>
      <c r="E1495" s="637"/>
      <c r="F1495" s="637"/>
      <c r="G1495" s="637"/>
      <c r="H1495" s="637"/>
      <c r="I1495" s="637"/>
      <c r="J1495" s="637"/>
    </row>
    <row r="1496" spans="1:10" x14ac:dyDescent="0.2">
      <c r="A1496" s="626"/>
      <c r="B1496" s="637"/>
      <c r="C1496" s="637"/>
      <c r="D1496" s="637"/>
      <c r="E1496" s="637"/>
      <c r="F1496" s="637"/>
      <c r="G1496" s="637"/>
      <c r="H1496" s="637"/>
      <c r="I1496" s="637"/>
      <c r="J1496" s="637"/>
    </row>
    <row r="1497" spans="1:10" x14ac:dyDescent="0.2">
      <c r="A1497" s="626"/>
      <c r="B1497" s="637"/>
      <c r="C1497" s="637"/>
      <c r="D1497" s="637"/>
      <c r="E1497" s="637"/>
      <c r="F1497" s="637"/>
      <c r="G1497" s="637"/>
      <c r="H1497" s="637"/>
      <c r="I1497" s="637"/>
      <c r="J1497" s="637"/>
    </row>
    <row r="1498" spans="1:10" x14ac:dyDescent="0.2">
      <c r="A1498" s="626"/>
      <c r="B1498" s="637"/>
      <c r="C1498" s="637"/>
      <c r="D1498" s="637"/>
      <c r="E1498" s="637"/>
      <c r="F1498" s="637"/>
      <c r="G1498" s="637"/>
      <c r="H1498" s="637"/>
      <c r="I1498" s="637"/>
      <c r="J1498" s="637"/>
    </row>
    <row r="1499" spans="1:10" x14ac:dyDescent="0.2">
      <c r="A1499" s="626"/>
      <c r="B1499" s="637"/>
      <c r="C1499" s="637"/>
      <c r="D1499" s="637"/>
      <c r="E1499" s="637"/>
      <c r="F1499" s="637"/>
      <c r="G1499" s="637"/>
      <c r="H1499" s="637"/>
      <c r="I1499" s="637"/>
      <c r="J1499" s="637"/>
    </row>
    <row r="1500" spans="1:10" x14ac:dyDescent="0.2">
      <c r="A1500" s="626"/>
      <c r="B1500" s="637"/>
      <c r="C1500" s="637"/>
      <c r="D1500" s="637"/>
      <c r="E1500" s="637"/>
      <c r="F1500" s="637"/>
      <c r="G1500" s="637"/>
      <c r="H1500" s="637"/>
      <c r="I1500" s="637"/>
      <c r="J1500" s="637"/>
    </row>
    <row r="1501" spans="1:10" x14ac:dyDescent="0.2">
      <c r="A1501" s="626"/>
      <c r="B1501" s="637"/>
      <c r="C1501" s="637"/>
      <c r="D1501" s="637"/>
      <c r="E1501" s="637"/>
      <c r="F1501" s="637"/>
      <c r="G1501" s="637"/>
      <c r="H1501" s="637"/>
      <c r="I1501" s="637"/>
      <c r="J1501" s="637"/>
    </row>
    <row r="1502" spans="1:10" x14ac:dyDescent="0.2">
      <c r="A1502" s="626"/>
      <c r="B1502" s="637"/>
      <c r="C1502" s="637"/>
      <c r="D1502" s="637"/>
      <c r="E1502" s="637"/>
      <c r="F1502" s="637"/>
      <c r="G1502" s="637"/>
      <c r="H1502" s="637"/>
      <c r="I1502" s="637"/>
      <c r="J1502" s="637"/>
    </row>
    <row r="1503" spans="1:10" x14ac:dyDescent="0.2">
      <c r="A1503" s="626"/>
      <c r="B1503" s="637"/>
      <c r="C1503" s="637"/>
      <c r="D1503" s="637"/>
      <c r="E1503" s="637"/>
      <c r="F1503" s="637"/>
      <c r="G1503" s="637"/>
      <c r="H1503" s="637"/>
      <c r="I1503" s="637"/>
      <c r="J1503" s="637"/>
    </row>
    <row r="1504" spans="1:10" x14ac:dyDescent="0.2">
      <c r="A1504" s="626"/>
      <c r="B1504" s="637"/>
      <c r="C1504" s="637"/>
      <c r="D1504" s="637"/>
      <c r="E1504" s="637"/>
      <c r="F1504" s="637"/>
      <c r="G1504" s="637"/>
      <c r="H1504" s="637"/>
      <c r="I1504" s="637"/>
      <c r="J1504" s="637"/>
    </row>
    <row r="1505" spans="1:10" x14ac:dyDescent="0.2">
      <c r="A1505" s="626"/>
      <c r="B1505" s="637"/>
      <c r="C1505" s="637"/>
      <c r="D1505" s="637"/>
      <c r="E1505" s="637"/>
      <c r="F1505" s="637"/>
      <c r="G1505" s="637"/>
      <c r="H1505" s="637"/>
      <c r="I1505" s="637"/>
      <c r="J1505" s="637"/>
    </row>
    <row r="1506" spans="1:10" x14ac:dyDescent="0.2">
      <c r="A1506" s="626"/>
      <c r="B1506" s="637"/>
      <c r="C1506" s="637"/>
      <c r="D1506" s="637"/>
      <c r="E1506" s="637"/>
      <c r="F1506" s="637"/>
      <c r="G1506" s="637"/>
      <c r="H1506" s="637"/>
      <c r="I1506" s="637"/>
      <c r="J1506" s="637"/>
    </row>
    <row r="1507" spans="1:10" x14ac:dyDescent="0.2">
      <c r="A1507" s="626"/>
      <c r="B1507" s="637"/>
      <c r="C1507" s="637"/>
      <c r="D1507" s="637"/>
      <c r="E1507" s="637"/>
      <c r="F1507" s="637"/>
      <c r="G1507" s="637"/>
      <c r="H1507" s="637"/>
      <c r="I1507" s="637"/>
      <c r="J1507" s="637"/>
    </row>
    <row r="1508" spans="1:10" x14ac:dyDescent="0.2">
      <c r="A1508" s="626"/>
      <c r="B1508" s="637"/>
      <c r="C1508" s="637"/>
      <c r="D1508" s="637"/>
      <c r="E1508" s="637"/>
      <c r="F1508" s="637"/>
      <c r="G1508" s="637"/>
      <c r="H1508" s="637"/>
      <c r="I1508" s="637"/>
      <c r="J1508" s="637"/>
    </row>
    <row r="1509" spans="1:10" x14ac:dyDescent="0.2">
      <c r="A1509" s="626"/>
      <c r="B1509" s="637"/>
      <c r="C1509" s="637"/>
      <c r="D1509" s="637"/>
      <c r="E1509" s="637"/>
      <c r="F1509" s="637"/>
      <c r="G1509" s="637"/>
      <c r="H1509" s="637"/>
      <c r="I1509" s="637"/>
      <c r="J1509" s="637"/>
    </row>
    <row r="1510" spans="1:10" x14ac:dyDescent="0.2">
      <c r="A1510" s="626"/>
      <c r="B1510" s="637"/>
      <c r="C1510" s="637"/>
      <c r="D1510" s="637"/>
      <c r="E1510" s="637"/>
      <c r="F1510" s="637"/>
      <c r="G1510" s="637"/>
      <c r="H1510" s="637"/>
      <c r="I1510" s="637"/>
      <c r="J1510" s="637"/>
    </row>
    <row r="1511" spans="1:10" x14ac:dyDescent="0.2">
      <c r="A1511" s="626"/>
      <c r="B1511" s="637"/>
      <c r="C1511" s="637"/>
      <c r="D1511" s="637"/>
      <c r="E1511" s="637"/>
      <c r="F1511" s="637"/>
      <c r="G1511" s="637"/>
      <c r="H1511" s="637"/>
      <c r="I1511" s="637"/>
      <c r="J1511" s="637"/>
    </row>
    <row r="1512" spans="1:10" x14ac:dyDescent="0.2">
      <c r="A1512" s="626"/>
      <c r="B1512" s="637"/>
      <c r="C1512" s="637"/>
      <c r="D1512" s="637"/>
      <c r="E1512" s="637"/>
      <c r="F1512" s="637"/>
      <c r="G1512" s="637"/>
      <c r="H1512" s="637"/>
      <c r="I1512" s="637"/>
      <c r="J1512" s="637"/>
    </row>
    <row r="1513" spans="1:10" x14ac:dyDescent="0.2">
      <c r="A1513" s="626"/>
      <c r="B1513" s="637"/>
      <c r="C1513" s="637"/>
      <c r="D1513" s="637"/>
      <c r="E1513" s="637"/>
      <c r="F1513" s="637"/>
      <c r="G1513" s="637"/>
      <c r="H1513" s="637"/>
      <c r="I1513" s="637"/>
      <c r="J1513" s="637"/>
    </row>
    <row r="1514" spans="1:10" x14ac:dyDescent="0.2">
      <c r="A1514" s="626"/>
      <c r="B1514" s="637"/>
      <c r="C1514" s="637"/>
      <c r="D1514" s="637"/>
      <c r="E1514" s="637"/>
      <c r="F1514" s="637"/>
      <c r="G1514" s="637"/>
      <c r="H1514" s="637"/>
      <c r="I1514" s="637"/>
      <c r="J1514" s="637"/>
    </row>
    <row r="1515" spans="1:10" x14ac:dyDescent="0.2">
      <c r="A1515" s="626"/>
      <c r="B1515" s="637"/>
      <c r="C1515" s="637"/>
      <c r="D1515" s="637"/>
      <c r="E1515" s="637"/>
      <c r="F1515" s="637"/>
      <c r="G1515" s="637"/>
      <c r="H1515" s="637"/>
      <c r="I1515" s="637"/>
      <c r="J1515" s="637"/>
    </row>
    <row r="1516" spans="1:10" x14ac:dyDescent="0.2">
      <c r="A1516" s="626"/>
      <c r="B1516" s="637"/>
      <c r="C1516" s="637"/>
      <c r="D1516" s="637"/>
      <c r="E1516" s="637"/>
      <c r="F1516" s="637"/>
      <c r="G1516" s="637"/>
      <c r="H1516" s="637"/>
      <c r="I1516" s="637"/>
      <c r="J1516" s="637"/>
    </row>
    <row r="1517" spans="1:10" x14ac:dyDescent="0.2">
      <c r="A1517" s="626"/>
      <c r="B1517" s="637"/>
      <c r="C1517" s="637"/>
      <c r="D1517" s="637"/>
      <c r="E1517" s="637"/>
      <c r="F1517" s="637"/>
      <c r="G1517" s="637"/>
      <c r="H1517" s="637"/>
      <c r="I1517" s="637"/>
      <c r="J1517" s="637"/>
    </row>
    <row r="1518" spans="1:10" x14ac:dyDescent="0.2">
      <c r="A1518" s="626"/>
      <c r="B1518" s="637"/>
      <c r="C1518" s="637"/>
      <c r="D1518" s="637"/>
      <c r="E1518" s="637"/>
      <c r="F1518" s="637"/>
      <c r="G1518" s="637"/>
      <c r="H1518" s="637"/>
      <c r="I1518" s="637"/>
      <c r="J1518" s="637"/>
    </row>
    <row r="1519" spans="1:10" x14ac:dyDescent="0.2">
      <c r="A1519" s="626"/>
      <c r="B1519" s="637"/>
      <c r="C1519" s="637"/>
      <c r="D1519" s="637"/>
      <c r="E1519" s="637"/>
      <c r="F1519" s="637"/>
      <c r="G1519" s="637"/>
      <c r="H1519" s="637"/>
      <c r="I1519" s="637"/>
      <c r="J1519" s="637"/>
    </row>
    <row r="1520" spans="1:10" x14ac:dyDescent="0.2">
      <c r="A1520" s="626"/>
      <c r="B1520" s="637"/>
      <c r="C1520" s="637"/>
      <c r="D1520" s="637"/>
      <c r="E1520" s="637"/>
      <c r="F1520" s="637"/>
      <c r="G1520" s="637"/>
      <c r="H1520" s="637"/>
      <c r="I1520" s="637"/>
      <c r="J1520" s="637"/>
    </row>
    <row r="1521" spans="1:10" x14ac:dyDescent="0.2">
      <c r="A1521" s="626"/>
      <c r="B1521" s="637"/>
      <c r="C1521" s="637"/>
      <c r="D1521" s="637"/>
      <c r="E1521" s="637"/>
      <c r="F1521" s="637"/>
      <c r="G1521" s="637"/>
      <c r="H1521" s="637"/>
      <c r="I1521" s="637"/>
      <c r="J1521" s="637"/>
    </row>
    <row r="1522" spans="1:10" x14ac:dyDescent="0.2">
      <c r="A1522" s="626"/>
      <c r="B1522" s="637"/>
      <c r="C1522" s="637"/>
      <c r="D1522" s="637"/>
      <c r="E1522" s="637"/>
      <c r="F1522" s="637"/>
      <c r="G1522" s="637"/>
      <c r="H1522" s="637"/>
      <c r="I1522" s="637"/>
      <c r="J1522" s="637"/>
    </row>
    <row r="1523" spans="1:10" x14ac:dyDescent="0.2">
      <c r="A1523" s="626"/>
      <c r="B1523" s="637"/>
      <c r="C1523" s="637"/>
      <c r="D1523" s="637"/>
      <c r="E1523" s="637"/>
      <c r="F1523" s="637"/>
      <c r="G1523" s="637"/>
      <c r="H1523" s="637"/>
      <c r="I1523" s="637"/>
      <c r="J1523" s="637"/>
    </row>
    <row r="1524" spans="1:10" x14ac:dyDescent="0.2">
      <c r="A1524" s="626"/>
      <c r="B1524" s="637"/>
      <c r="C1524" s="637"/>
      <c r="D1524" s="637"/>
      <c r="E1524" s="637"/>
      <c r="F1524" s="637"/>
      <c r="G1524" s="637"/>
      <c r="H1524" s="637"/>
      <c r="I1524" s="637"/>
      <c r="J1524" s="637"/>
    </row>
    <row r="1525" spans="1:10" x14ac:dyDescent="0.2">
      <c r="A1525" s="626"/>
      <c r="B1525" s="637"/>
      <c r="C1525" s="637"/>
      <c r="D1525" s="637"/>
      <c r="E1525" s="637"/>
      <c r="F1525" s="637"/>
      <c r="G1525" s="637"/>
      <c r="H1525" s="637"/>
      <c r="I1525" s="637"/>
      <c r="J1525" s="637"/>
    </row>
    <row r="1526" spans="1:10" x14ac:dyDescent="0.2">
      <c r="A1526" s="626"/>
      <c r="B1526" s="637"/>
      <c r="C1526" s="637"/>
      <c r="D1526" s="637"/>
      <c r="E1526" s="637"/>
      <c r="F1526" s="637"/>
      <c r="G1526" s="637"/>
      <c r="H1526" s="637"/>
      <c r="I1526" s="637"/>
      <c r="J1526" s="637"/>
    </row>
    <row r="1527" spans="1:10" x14ac:dyDescent="0.2">
      <c r="A1527" s="626"/>
      <c r="B1527" s="637"/>
      <c r="C1527" s="637"/>
      <c r="D1527" s="637"/>
      <c r="E1527" s="637"/>
      <c r="F1527" s="637"/>
      <c r="G1527" s="637"/>
      <c r="H1527" s="637"/>
      <c r="I1527" s="637"/>
      <c r="J1527" s="637"/>
    </row>
    <row r="1528" spans="1:10" x14ac:dyDescent="0.2">
      <c r="A1528" s="626"/>
      <c r="B1528" s="637"/>
      <c r="C1528" s="637"/>
      <c r="D1528" s="637"/>
      <c r="E1528" s="637"/>
      <c r="F1528" s="637"/>
      <c r="G1528" s="637"/>
      <c r="H1528" s="637"/>
      <c r="I1528" s="637"/>
      <c r="J1528" s="637"/>
    </row>
    <row r="1529" spans="1:10" x14ac:dyDescent="0.2">
      <c r="A1529" s="626"/>
      <c r="B1529" s="637"/>
      <c r="C1529" s="637"/>
      <c r="D1529" s="637"/>
      <c r="E1529" s="637"/>
      <c r="F1529" s="637"/>
      <c r="G1529" s="637"/>
      <c r="H1529" s="637"/>
      <c r="I1529" s="637"/>
      <c r="J1529" s="637"/>
    </row>
    <row r="1530" spans="1:10" x14ac:dyDescent="0.2">
      <c r="A1530" s="626"/>
      <c r="B1530" s="637"/>
      <c r="C1530" s="637"/>
      <c r="D1530" s="637"/>
      <c r="E1530" s="637"/>
      <c r="F1530" s="637"/>
      <c r="G1530" s="637"/>
      <c r="H1530" s="637"/>
      <c r="I1530" s="637"/>
      <c r="J1530" s="637"/>
    </row>
    <row r="1531" spans="1:10" x14ac:dyDescent="0.2">
      <c r="A1531" s="626"/>
      <c r="B1531" s="637"/>
      <c r="C1531" s="637"/>
      <c r="D1531" s="637"/>
      <c r="E1531" s="637"/>
      <c r="F1531" s="637"/>
      <c r="G1531" s="637"/>
      <c r="H1531" s="637"/>
      <c r="I1531" s="637"/>
      <c r="J1531" s="637"/>
    </row>
    <row r="1532" spans="1:10" x14ac:dyDescent="0.2">
      <c r="A1532" s="626"/>
      <c r="B1532" s="637"/>
      <c r="C1532" s="637"/>
      <c r="D1532" s="637"/>
      <c r="E1532" s="637"/>
      <c r="F1532" s="637"/>
      <c r="G1532" s="637"/>
      <c r="H1532" s="637"/>
      <c r="I1532" s="637"/>
      <c r="J1532" s="637"/>
    </row>
    <row r="1533" spans="1:10" x14ac:dyDescent="0.2">
      <c r="A1533" s="626"/>
      <c r="B1533" s="637"/>
      <c r="C1533" s="637"/>
      <c r="D1533" s="637"/>
      <c r="E1533" s="637"/>
      <c r="F1533" s="637"/>
      <c r="G1533" s="637"/>
      <c r="H1533" s="637"/>
      <c r="I1533" s="637"/>
      <c r="J1533" s="637"/>
    </row>
    <row r="1534" spans="1:10" x14ac:dyDescent="0.2">
      <c r="A1534" s="626"/>
      <c r="B1534" s="637"/>
      <c r="C1534" s="637"/>
      <c r="D1534" s="637"/>
      <c r="E1534" s="637"/>
      <c r="F1534" s="637"/>
      <c r="G1534" s="637"/>
      <c r="H1534" s="637"/>
      <c r="I1534" s="637"/>
      <c r="J1534" s="637"/>
    </row>
    <row r="1535" spans="1:10" x14ac:dyDescent="0.2">
      <c r="A1535" s="626"/>
      <c r="B1535" s="637"/>
      <c r="C1535" s="637"/>
      <c r="D1535" s="637"/>
      <c r="E1535" s="637"/>
      <c r="F1535" s="637"/>
      <c r="G1535" s="637"/>
      <c r="H1535" s="637"/>
      <c r="I1535" s="637"/>
      <c r="J1535" s="637"/>
    </row>
    <row r="1536" spans="1:10" x14ac:dyDescent="0.2">
      <c r="A1536" s="626"/>
      <c r="B1536" s="637"/>
      <c r="C1536" s="637"/>
      <c r="D1536" s="637"/>
      <c r="E1536" s="637"/>
      <c r="F1536" s="637"/>
      <c r="G1536" s="637"/>
      <c r="H1536" s="637"/>
      <c r="I1536" s="637"/>
      <c r="J1536" s="637"/>
    </row>
    <row r="1537" spans="1:10" x14ac:dyDescent="0.2">
      <c r="A1537" s="626"/>
      <c r="B1537" s="637"/>
      <c r="C1537" s="637"/>
      <c r="D1537" s="637"/>
      <c r="E1537" s="637"/>
      <c r="F1537" s="637"/>
      <c r="G1537" s="637"/>
      <c r="H1537" s="637"/>
      <c r="I1537" s="637"/>
      <c r="J1537" s="637"/>
    </row>
    <row r="1538" spans="1:10" x14ac:dyDescent="0.2">
      <c r="A1538" s="626"/>
      <c r="B1538" s="637"/>
      <c r="C1538" s="637"/>
      <c r="D1538" s="637"/>
      <c r="E1538" s="637"/>
      <c r="F1538" s="637"/>
      <c r="G1538" s="637"/>
      <c r="H1538" s="637"/>
      <c r="I1538" s="637"/>
      <c r="J1538" s="637"/>
    </row>
    <row r="1539" spans="1:10" x14ac:dyDescent="0.2">
      <c r="A1539" s="626"/>
      <c r="B1539" s="637"/>
      <c r="C1539" s="637"/>
      <c r="D1539" s="637"/>
      <c r="E1539" s="637"/>
      <c r="F1539" s="637"/>
      <c r="G1539" s="637"/>
      <c r="H1539" s="637"/>
      <c r="I1539" s="637"/>
      <c r="J1539" s="637"/>
    </row>
    <row r="1540" spans="1:10" x14ac:dyDescent="0.2">
      <c r="A1540" s="626"/>
      <c r="B1540" s="637"/>
      <c r="C1540" s="637"/>
      <c r="D1540" s="637"/>
      <c r="E1540" s="637"/>
      <c r="F1540" s="637"/>
      <c r="G1540" s="637"/>
      <c r="H1540" s="637"/>
      <c r="I1540" s="637"/>
      <c r="J1540" s="637"/>
    </row>
    <row r="1541" spans="1:10" x14ac:dyDescent="0.2">
      <c r="A1541" s="626"/>
      <c r="B1541" s="637"/>
      <c r="C1541" s="637"/>
      <c r="D1541" s="637"/>
      <c r="E1541" s="637"/>
      <c r="F1541" s="637"/>
      <c r="G1541" s="637"/>
      <c r="H1541" s="637"/>
      <c r="I1541" s="637"/>
      <c r="J1541" s="637"/>
    </row>
    <row r="1542" spans="1:10" x14ac:dyDescent="0.2">
      <c r="A1542" s="626"/>
      <c r="B1542" s="637"/>
      <c r="C1542" s="637"/>
      <c r="D1542" s="637"/>
      <c r="E1542" s="637"/>
      <c r="F1542" s="637"/>
      <c r="G1542" s="637"/>
      <c r="H1542" s="637"/>
      <c r="I1542" s="637"/>
      <c r="J1542" s="637"/>
    </row>
    <row r="1543" spans="1:10" x14ac:dyDescent="0.2">
      <c r="A1543" s="626"/>
      <c r="B1543" s="637"/>
      <c r="C1543" s="637"/>
      <c r="D1543" s="637"/>
      <c r="E1543" s="637"/>
      <c r="F1543" s="637"/>
      <c r="G1543" s="637"/>
      <c r="H1543" s="637"/>
      <c r="I1543" s="637"/>
      <c r="J1543" s="637"/>
    </row>
    <row r="1544" spans="1:10" x14ac:dyDescent="0.2">
      <c r="A1544" s="626"/>
      <c r="B1544" s="637"/>
      <c r="C1544" s="637"/>
      <c r="D1544" s="637"/>
      <c r="E1544" s="637"/>
      <c r="F1544" s="637"/>
      <c r="G1544" s="637"/>
      <c r="H1544" s="637"/>
      <c r="I1544" s="637"/>
      <c r="J1544" s="637"/>
    </row>
    <row r="1545" spans="1:10" x14ac:dyDescent="0.2">
      <c r="A1545" s="626"/>
      <c r="B1545" s="637"/>
      <c r="C1545" s="637"/>
      <c r="D1545" s="637"/>
      <c r="E1545" s="637"/>
      <c r="F1545" s="637"/>
      <c r="G1545" s="637"/>
      <c r="H1545" s="637"/>
      <c r="I1545" s="637"/>
      <c r="J1545" s="637"/>
    </row>
    <row r="1546" spans="1:10" x14ac:dyDescent="0.2">
      <c r="A1546" s="626"/>
      <c r="B1546" s="637"/>
      <c r="C1546" s="637"/>
      <c r="D1546" s="637"/>
      <c r="E1546" s="637"/>
      <c r="F1546" s="637"/>
      <c r="G1546" s="637"/>
      <c r="H1546" s="637"/>
      <c r="I1546" s="637"/>
      <c r="J1546" s="637"/>
    </row>
    <row r="1547" spans="1:10" x14ac:dyDescent="0.2">
      <c r="A1547" s="626"/>
      <c r="B1547" s="637"/>
      <c r="C1547" s="637"/>
      <c r="D1547" s="637"/>
      <c r="E1547" s="637"/>
      <c r="F1547" s="637"/>
      <c r="G1547" s="637"/>
      <c r="H1547" s="637"/>
      <c r="I1547" s="637"/>
      <c r="J1547" s="637"/>
    </row>
    <row r="1548" spans="1:10" x14ac:dyDescent="0.2">
      <c r="A1548" s="626"/>
      <c r="B1548" s="637"/>
      <c r="C1548" s="637"/>
      <c r="D1548" s="637"/>
      <c r="E1548" s="637"/>
      <c r="F1548" s="637"/>
      <c r="G1548" s="637"/>
      <c r="H1548" s="637"/>
      <c r="I1548" s="637"/>
      <c r="J1548" s="637"/>
    </row>
    <row r="1549" spans="1:10" x14ac:dyDescent="0.2">
      <c r="A1549" s="626"/>
      <c r="B1549" s="637"/>
      <c r="C1549" s="637"/>
      <c r="D1549" s="637"/>
      <c r="E1549" s="637"/>
      <c r="F1549" s="637"/>
      <c r="G1549" s="637"/>
      <c r="H1549" s="637"/>
      <c r="I1549" s="637"/>
      <c r="J1549" s="637"/>
    </row>
    <row r="1550" spans="1:10" x14ac:dyDescent="0.2">
      <c r="A1550" s="626"/>
      <c r="B1550" s="637"/>
      <c r="C1550" s="637"/>
      <c r="D1550" s="637"/>
      <c r="E1550" s="637"/>
      <c r="F1550" s="637"/>
      <c r="G1550" s="637"/>
      <c r="H1550" s="637"/>
      <c r="I1550" s="637"/>
      <c r="J1550" s="637"/>
    </row>
    <row r="1551" spans="1:10" x14ac:dyDescent="0.2">
      <c r="A1551" s="626"/>
      <c r="B1551" s="637"/>
      <c r="C1551" s="637"/>
      <c r="D1551" s="637"/>
      <c r="E1551" s="637"/>
      <c r="F1551" s="637"/>
      <c r="G1551" s="637"/>
      <c r="H1551" s="637"/>
      <c r="I1551" s="637"/>
      <c r="J1551" s="637"/>
    </row>
    <row r="1552" spans="1:10" x14ac:dyDescent="0.2">
      <c r="A1552" s="626"/>
      <c r="B1552" s="637"/>
      <c r="C1552" s="637"/>
      <c r="D1552" s="637"/>
      <c r="E1552" s="637"/>
      <c r="F1552" s="637"/>
      <c r="G1552" s="637"/>
      <c r="H1552" s="637"/>
      <c r="I1552" s="637"/>
      <c r="J1552" s="637"/>
    </row>
    <row r="1553" spans="1:10" x14ac:dyDescent="0.2">
      <c r="A1553" s="626"/>
      <c r="B1553" s="637"/>
      <c r="C1553" s="637"/>
      <c r="D1553" s="637"/>
      <c r="E1553" s="637"/>
      <c r="F1553" s="637"/>
      <c r="G1553" s="637"/>
      <c r="H1553" s="637"/>
      <c r="I1553" s="637"/>
      <c r="J1553" s="637"/>
    </row>
    <row r="1554" spans="1:10" x14ac:dyDescent="0.2">
      <c r="A1554" s="626"/>
      <c r="B1554" s="637"/>
      <c r="C1554" s="637"/>
      <c r="D1554" s="637"/>
      <c r="E1554" s="637"/>
      <c r="F1554" s="637"/>
      <c r="G1554" s="637"/>
      <c r="H1554" s="637"/>
      <c r="I1554" s="637"/>
      <c r="J1554" s="637"/>
    </row>
    <row r="1555" spans="1:10" x14ac:dyDescent="0.2">
      <c r="A1555" s="626"/>
      <c r="B1555" s="637"/>
      <c r="C1555" s="637"/>
      <c r="D1555" s="637"/>
      <c r="E1555" s="637"/>
      <c r="F1555" s="637"/>
      <c r="G1555" s="637"/>
      <c r="H1555" s="637"/>
      <c r="I1555" s="637"/>
      <c r="J1555" s="637"/>
    </row>
    <row r="1556" spans="1:10" x14ac:dyDescent="0.2">
      <c r="A1556" s="626"/>
      <c r="B1556" s="637"/>
      <c r="C1556" s="637"/>
      <c r="D1556" s="637"/>
      <c r="E1556" s="637"/>
      <c r="F1556" s="637"/>
      <c r="G1556" s="637"/>
      <c r="H1556" s="637"/>
      <c r="I1556" s="637"/>
      <c r="J1556" s="637"/>
    </row>
    <row r="1557" spans="1:10" x14ac:dyDescent="0.2">
      <c r="A1557" s="626"/>
      <c r="B1557" s="637"/>
      <c r="C1557" s="637"/>
      <c r="D1557" s="637"/>
      <c r="E1557" s="637"/>
      <c r="F1557" s="637"/>
      <c r="G1557" s="637"/>
      <c r="H1557" s="637"/>
      <c r="I1557" s="637"/>
      <c r="J1557" s="637"/>
    </row>
    <row r="1558" spans="1:10" x14ac:dyDescent="0.2">
      <c r="A1558" s="626"/>
      <c r="B1558" s="637"/>
      <c r="C1558" s="637"/>
      <c r="D1558" s="637"/>
      <c r="E1558" s="637"/>
      <c r="F1558" s="637"/>
      <c r="G1558" s="637"/>
      <c r="H1558" s="637"/>
      <c r="I1558" s="637"/>
      <c r="J1558" s="637"/>
    </row>
    <row r="1559" spans="1:10" x14ac:dyDescent="0.2">
      <c r="A1559" s="626"/>
      <c r="B1559" s="637"/>
      <c r="C1559" s="637"/>
      <c r="D1559" s="637"/>
      <c r="E1559" s="637"/>
      <c r="F1559" s="637"/>
      <c r="G1559" s="637"/>
      <c r="H1559" s="637"/>
      <c r="I1559" s="637"/>
      <c r="J1559" s="637"/>
    </row>
    <row r="1560" spans="1:10" x14ac:dyDescent="0.2">
      <c r="A1560" s="626"/>
      <c r="B1560" s="637"/>
      <c r="C1560" s="637"/>
      <c r="D1560" s="637"/>
      <c r="E1560" s="637"/>
      <c r="F1560" s="637"/>
      <c r="G1560" s="637"/>
      <c r="H1560" s="637"/>
      <c r="I1560" s="637"/>
      <c r="J1560" s="637"/>
    </row>
    <row r="1561" spans="1:10" x14ac:dyDescent="0.2">
      <c r="A1561" s="626"/>
      <c r="B1561" s="637"/>
      <c r="C1561" s="637"/>
      <c r="D1561" s="637"/>
      <c r="E1561" s="637"/>
      <c r="F1561" s="637"/>
      <c r="G1561" s="637"/>
      <c r="H1561" s="637"/>
      <c r="I1561" s="637"/>
      <c r="J1561" s="637"/>
    </row>
    <row r="1562" spans="1:10" x14ac:dyDescent="0.2">
      <c r="A1562" s="626"/>
      <c r="B1562" s="637"/>
      <c r="C1562" s="637"/>
      <c r="D1562" s="637"/>
      <c r="E1562" s="637"/>
      <c r="F1562" s="637"/>
      <c r="G1562" s="637"/>
      <c r="H1562" s="637"/>
      <c r="I1562" s="637"/>
      <c r="J1562" s="637"/>
    </row>
    <row r="1563" spans="1:10" x14ac:dyDescent="0.2">
      <c r="A1563" s="626"/>
      <c r="B1563" s="637"/>
      <c r="C1563" s="637"/>
      <c r="D1563" s="637"/>
      <c r="E1563" s="637"/>
      <c r="F1563" s="637"/>
      <c r="G1563" s="637"/>
      <c r="H1563" s="637"/>
      <c r="I1563" s="637"/>
      <c r="J1563" s="637"/>
    </row>
    <row r="1564" spans="1:10" x14ac:dyDescent="0.2">
      <c r="A1564" s="626"/>
      <c r="B1564" s="637"/>
      <c r="C1564" s="637"/>
      <c r="D1564" s="637"/>
      <c r="E1564" s="637"/>
      <c r="F1564" s="637"/>
      <c r="G1564" s="637"/>
      <c r="H1564" s="637"/>
      <c r="I1564" s="637"/>
      <c r="J1564" s="637"/>
    </row>
    <row r="1565" spans="1:10" x14ac:dyDescent="0.2">
      <c r="A1565" s="626"/>
      <c r="B1565" s="637"/>
      <c r="C1565" s="637"/>
      <c r="D1565" s="637"/>
      <c r="E1565" s="637"/>
      <c r="F1565" s="637"/>
      <c r="G1565" s="637"/>
      <c r="H1565" s="637"/>
      <c r="I1565" s="637"/>
      <c r="J1565" s="637"/>
    </row>
    <row r="1566" spans="1:10" x14ac:dyDescent="0.2">
      <c r="A1566" s="626"/>
      <c r="B1566" s="637"/>
      <c r="C1566" s="637"/>
      <c r="D1566" s="637"/>
      <c r="E1566" s="637"/>
      <c r="F1566" s="637"/>
      <c r="G1566" s="637"/>
      <c r="H1566" s="637"/>
      <c r="I1566" s="637"/>
      <c r="J1566" s="637"/>
    </row>
    <row r="1567" spans="1:10" x14ac:dyDescent="0.2">
      <c r="A1567" s="626"/>
      <c r="B1567" s="637"/>
      <c r="C1567" s="637"/>
      <c r="D1567" s="637"/>
      <c r="E1567" s="637"/>
      <c r="F1567" s="637"/>
      <c r="G1567" s="637"/>
      <c r="H1567" s="637"/>
      <c r="I1567" s="637"/>
      <c r="J1567" s="637"/>
    </row>
    <row r="1568" spans="1:10" x14ac:dyDescent="0.2">
      <c r="A1568" s="626"/>
      <c r="B1568" s="637"/>
      <c r="C1568" s="637"/>
      <c r="D1568" s="637"/>
      <c r="E1568" s="637"/>
      <c r="F1568" s="637"/>
      <c r="G1568" s="637"/>
      <c r="H1568" s="637"/>
      <c r="I1568" s="637"/>
      <c r="J1568" s="637"/>
    </row>
    <row r="1569" spans="1:10" x14ac:dyDescent="0.2">
      <c r="A1569" s="626"/>
      <c r="B1569" s="637"/>
      <c r="C1569" s="637"/>
      <c r="D1569" s="637"/>
      <c r="E1569" s="637"/>
      <c r="F1569" s="637"/>
      <c r="G1569" s="637"/>
      <c r="H1569" s="637"/>
      <c r="I1569" s="637"/>
      <c r="J1569" s="637"/>
    </row>
    <row r="1570" spans="1:10" x14ac:dyDescent="0.2">
      <c r="A1570" s="626"/>
      <c r="B1570" s="637"/>
      <c r="C1570" s="637"/>
      <c r="D1570" s="637"/>
      <c r="E1570" s="637"/>
      <c r="F1570" s="637"/>
      <c r="G1570" s="637"/>
      <c r="H1570" s="637"/>
      <c r="I1570" s="637"/>
      <c r="J1570" s="637"/>
    </row>
    <row r="1571" spans="1:10" x14ac:dyDescent="0.2">
      <c r="A1571" s="626"/>
      <c r="B1571" s="637"/>
      <c r="C1571" s="637"/>
      <c r="D1571" s="637"/>
      <c r="E1571" s="637"/>
      <c r="F1571" s="637"/>
      <c r="G1571" s="637"/>
      <c r="H1571" s="637"/>
      <c r="I1571" s="637"/>
      <c r="J1571" s="637"/>
    </row>
    <row r="1572" spans="1:10" x14ac:dyDescent="0.2">
      <c r="A1572" s="626"/>
      <c r="B1572" s="637"/>
      <c r="C1572" s="637"/>
      <c r="D1572" s="637"/>
      <c r="E1572" s="637"/>
      <c r="F1572" s="637"/>
      <c r="G1572" s="637"/>
      <c r="H1572" s="637"/>
      <c r="I1572" s="637"/>
      <c r="J1572" s="637"/>
    </row>
    <row r="1573" spans="1:10" x14ac:dyDescent="0.2">
      <c r="A1573" s="626"/>
      <c r="B1573" s="637"/>
      <c r="C1573" s="637"/>
      <c r="D1573" s="637"/>
      <c r="E1573" s="637"/>
      <c r="F1573" s="637"/>
      <c r="G1573" s="637"/>
      <c r="H1573" s="637"/>
      <c r="I1573" s="637"/>
      <c r="J1573" s="637"/>
    </row>
    <row r="1574" spans="1:10" x14ac:dyDescent="0.2">
      <c r="A1574" s="626"/>
      <c r="B1574" s="637"/>
      <c r="C1574" s="637"/>
      <c r="D1574" s="637"/>
      <c r="E1574" s="637"/>
      <c r="F1574" s="637"/>
      <c r="G1574" s="637"/>
      <c r="H1574" s="637"/>
      <c r="I1574" s="637"/>
      <c r="J1574" s="637"/>
    </row>
    <row r="1575" spans="1:10" x14ac:dyDescent="0.2">
      <c r="A1575" s="626"/>
      <c r="B1575" s="637"/>
      <c r="C1575" s="637"/>
      <c r="D1575" s="637"/>
      <c r="E1575" s="637"/>
      <c r="F1575" s="637"/>
      <c r="G1575" s="637"/>
      <c r="H1575" s="637"/>
      <c r="I1575" s="637"/>
      <c r="J1575" s="637"/>
    </row>
    <row r="1576" spans="1:10" x14ac:dyDescent="0.2">
      <c r="A1576" s="626"/>
      <c r="B1576" s="637"/>
      <c r="C1576" s="637"/>
      <c r="D1576" s="637"/>
      <c r="E1576" s="637"/>
      <c r="F1576" s="637"/>
      <c r="G1576" s="637"/>
      <c r="H1576" s="637"/>
      <c r="I1576" s="637"/>
      <c r="J1576" s="637"/>
    </row>
    <row r="1577" spans="1:10" x14ac:dyDescent="0.2">
      <c r="A1577" s="626"/>
      <c r="B1577" s="637"/>
      <c r="C1577" s="637"/>
      <c r="D1577" s="637"/>
      <c r="E1577" s="637"/>
      <c r="F1577" s="637"/>
      <c r="G1577" s="637"/>
      <c r="H1577" s="637"/>
      <c r="I1577" s="637"/>
      <c r="J1577" s="637"/>
    </row>
    <row r="1578" spans="1:10" x14ac:dyDescent="0.2">
      <c r="A1578" s="626"/>
      <c r="B1578" s="637"/>
      <c r="C1578" s="637"/>
      <c r="D1578" s="637"/>
      <c r="E1578" s="637"/>
      <c r="F1578" s="637"/>
      <c r="G1578" s="637"/>
      <c r="H1578" s="637"/>
      <c r="I1578" s="637"/>
      <c r="J1578" s="637"/>
    </row>
    <row r="1579" spans="1:10" x14ac:dyDescent="0.2">
      <c r="A1579" s="626"/>
      <c r="B1579" s="637"/>
      <c r="C1579" s="637"/>
      <c r="D1579" s="637"/>
      <c r="E1579" s="637"/>
      <c r="F1579" s="637"/>
      <c r="G1579" s="637"/>
      <c r="H1579" s="637"/>
      <c r="I1579" s="637"/>
      <c r="J1579" s="637"/>
    </row>
    <row r="1580" spans="1:10" x14ac:dyDescent="0.2">
      <c r="A1580" s="626"/>
      <c r="B1580" s="637"/>
      <c r="C1580" s="637"/>
      <c r="D1580" s="637"/>
      <c r="E1580" s="637"/>
      <c r="F1580" s="637"/>
      <c r="G1580" s="637"/>
      <c r="H1580" s="637"/>
      <c r="I1580" s="637"/>
      <c r="J1580" s="637"/>
    </row>
    <row r="1581" spans="1:10" x14ac:dyDescent="0.2">
      <c r="A1581" s="626"/>
      <c r="B1581" s="637"/>
      <c r="C1581" s="637"/>
      <c r="D1581" s="637"/>
      <c r="E1581" s="637"/>
      <c r="F1581" s="637"/>
      <c r="G1581" s="637"/>
      <c r="H1581" s="637"/>
      <c r="I1581" s="637"/>
      <c r="J1581" s="637"/>
    </row>
    <row r="1582" spans="1:10" x14ac:dyDescent="0.2">
      <c r="A1582" s="626"/>
      <c r="B1582" s="637"/>
      <c r="C1582" s="637"/>
      <c r="D1582" s="637"/>
      <c r="E1582" s="637"/>
      <c r="F1582" s="637"/>
      <c r="G1582" s="637"/>
      <c r="H1582" s="637"/>
      <c r="I1582" s="637"/>
      <c r="J1582" s="637"/>
    </row>
    <row r="1583" spans="1:10" x14ac:dyDescent="0.2">
      <c r="A1583" s="626"/>
      <c r="B1583" s="637"/>
      <c r="C1583" s="637"/>
      <c r="D1583" s="637"/>
      <c r="E1583" s="637"/>
      <c r="F1583" s="637"/>
      <c r="G1583" s="637"/>
      <c r="H1583" s="637"/>
      <c r="I1583" s="637"/>
      <c r="J1583" s="637"/>
    </row>
    <row r="1584" spans="1:10" x14ac:dyDescent="0.2">
      <c r="A1584" s="626"/>
      <c r="B1584" s="637"/>
      <c r="C1584" s="637"/>
      <c r="D1584" s="637"/>
      <c r="E1584" s="637"/>
      <c r="F1584" s="637"/>
      <c r="G1584" s="637"/>
      <c r="H1584" s="637"/>
      <c r="I1584" s="637"/>
      <c r="J1584" s="637"/>
    </row>
    <row r="1585" spans="1:10" x14ac:dyDescent="0.2">
      <c r="A1585" s="626"/>
      <c r="B1585" s="637"/>
      <c r="C1585" s="637"/>
      <c r="D1585" s="637"/>
      <c r="E1585" s="637"/>
      <c r="F1585" s="637"/>
      <c r="G1585" s="637"/>
      <c r="H1585" s="637"/>
      <c r="I1585" s="637"/>
      <c r="J1585" s="637"/>
    </row>
    <row r="1586" spans="1:10" x14ac:dyDescent="0.2">
      <c r="A1586" s="626"/>
      <c r="B1586" s="637"/>
      <c r="C1586" s="637"/>
      <c r="D1586" s="637"/>
      <c r="E1586" s="637"/>
      <c r="F1586" s="637"/>
      <c r="G1586" s="637"/>
      <c r="H1586" s="637"/>
      <c r="I1586" s="637"/>
      <c r="J1586" s="637"/>
    </row>
    <row r="1587" spans="1:10" x14ac:dyDescent="0.2">
      <c r="A1587" s="626"/>
      <c r="B1587" s="637"/>
      <c r="C1587" s="637"/>
      <c r="D1587" s="637"/>
      <c r="E1587" s="637"/>
      <c r="F1587" s="637"/>
      <c r="G1587" s="637"/>
      <c r="H1587" s="637"/>
      <c r="I1587" s="637"/>
      <c r="J1587" s="637"/>
    </row>
    <row r="1588" spans="1:10" x14ac:dyDescent="0.2">
      <c r="A1588" s="626"/>
      <c r="B1588" s="637"/>
      <c r="C1588" s="637"/>
      <c r="D1588" s="637"/>
      <c r="E1588" s="637"/>
      <c r="F1588" s="637"/>
      <c r="G1588" s="637"/>
      <c r="H1588" s="637"/>
      <c r="I1588" s="637"/>
      <c r="J1588" s="637"/>
    </row>
    <row r="1589" spans="1:10" x14ac:dyDescent="0.2">
      <c r="A1589" s="626"/>
      <c r="B1589" s="637"/>
      <c r="C1589" s="637"/>
      <c r="D1589" s="637"/>
      <c r="E1589" s="637"/>
      <c r="F1589" s="637"/>
      <c r="G1589" s="637"/>
      <c r="H1589" s="637"/>
      <c r="I1589" s="637"/>
      <c r="J1589" s="637"/>
    </row>
    <row r="1590" spans="1:10" x14ac:dyDescent="0.2">
      <c r="A1590" s="626"/>
      <c r="B1590" s="637"/>
      <c r="C1590" s="637"/>
      <c r="D1590" s="637"/>
      <c r="E1590" s="637"/>
      <c r="F1590" s="637"/>
      <c r="G1590" s="637"/>
      <c r="H1590" s="637"/>
      <c r="I1590" s="637"/>
      <c r="J1590" s="637"/>
    </row>
    <row r="1591" spans="1:10" x14ac:dyDescent="0.2">
      <c r="A1591" s="626"/>
      <c r="B1591" s="637"/>
      <c r="C1591" s="637"/>
      <c r="D1591" s="637"/>
      <c r="E1591" s="637"/>
      <c r="F1591" s="637"/>
      <c r="G1591" s="637"/>
      <c r="H1591" s="637"/>
      <c r="I1591" s="637"/>
      <c r="J1591" s="637"/>
    </row>
    <row r="1592" spans="1:10" x14ac:dyDescent="0.2">
      <c r="A1592" s="626"/>
      <c r="B1592" s="637"/>
      <c r="C1592" s="637"/>
      <c r="D1592" s="637"/>
      <c r="E1592" s="637"/>
      <c r="F1592" s="637"/>
      <c r="G1592" s="637"/>
      <c r="H1592" s="637"/>
      <c r="I1592" s="637"/>
      <c r="J1592" s="637"/>
    </row>
    <row r="1593" spans="1:10" x14ac:dyDescent="0.2">
      <c r="A1593" s="626"/>
      <c r="B1593" s="637"/>
      <c r="C1593" s="637"/>
      <c r="D1593" s="637"/>
      <c r="E1593" s="637"/>
      <c r="F1593" s="637"/>
      <c r="G1593" s="637"/>
      <c r="H1593" s="637"/>
      <c r="I1593" s="637"/>
      <c r="J1593" s="637"/>
    </row>
    <row r="1594" spans="1:10" x14ac:dyDescent="0.2">
      <c r="A1594" s="626"/>
      <c r="B1594" s="637"/>
      <c r="C1594" s="637"/>
      <c r="D1594" s="637"/>
      <c r="E1594" s="637"/>
      <c r="F1594" s="637"/>
      <c r="G1594" s="637"/>
      <c r="H1594" s="637"/>
      <c r="I1594" s="637"/>
      <c r="J1594" s="637"/>
    </row>
    <row r="1595" spans="1:10" x14ac:dyDescent="0.2">
      <c r="A1595" s="626"/>
      <c r="B1595" s="637"/>
      <c r="C1595" s="637"/>
      <c r="D1595" s="637"/>
      <c r="E1595" s="637"/>
      <c r="F1595" s="637"/>
      <c r="G1595" s="637"/>
      <c r="H1595" s="637"/>
      <c r="I1595" s="637"/>
      <c r="J1595" s="637"/>
    </row>
    <row r="1596" spans="1:10" x14ac:dyDescent="0.2">
      <c r="A1596" s="626"/>
      <c r="B1596" s="637"/>
      <c r="C1596" s="637"/>
      <c r="D1596" s="637"/>
      <c r="E1596" s="637"/>
      <c r="F1596" s="637"/>
      <c r="G1596" s="637"/>
      <c r="H1596" s="637"/>
      <c r="I1596" s="637"/>
      <c r="J1596" s="637"/>
    </row>
    <row r="1597" spans="1:10" x14ac:dyDescent="0.2">
      <c r="A1597" s="626"/>
      <c r="B1597" s="637"/>
      <c r="C1597" s="637"/>
      <c r="D1597" s="637"/>
      <c r="E1597" s="637"/>
      <c r="F1597" s="637"/>
      <c r="G1597" s="637"/>
      <c r="H1597" s="637"/>
      <c r="I1597" s="637"/>
      <c r="J1597" s="637"/>
    </row>
    <row r="1598" spans="1:10" x14ac:dyDescent="0.2">
      <c r="A1598" s="626"/>
      <c r="B1598" s="637"/>
      <c r="C1598" s="637"/>
      <c r="D1598" s="637"/>
      <c r="E1598" s="637"/>
      <c r="F1598" s="637"/>
      <c r="G1598" s="637"/>
      <c r="H1598" s="637"/>
      <c r="I1598" s="637"/>
      <c r="J1598" s="637"/>
    </row>
    <row r="1599" spans="1:10" x14ac:dyDescent="0.2">
      <c r="A1599" s="626"/>
      <c r="B1599" s="637"/>
      <c r="C1599" s="637"/>
      <c r="D1599" s="637"/>
      <c r="E1599" s="637"/>
      <c r="F1599" s="637"/>
      <c r="G1599" s="637"/>
      <c r="H1599" s="637"/>
      <c r="I1599" s="637"/>
      <c r="J1599" s="637"/>
    </row>
    <row r="1600" spans="1:10" x14ac:dyDescent="0.2">
      <c r="A1600" s="626"/>
      <c r="B1600" s="637"/>
      <c r="C1600" s="637"/>
      <c r="D1600" s="637"/>
      <c r="E1600" s="637"/>
      <c r="F1600" s="637"/>
      <c r="G1600" s="637"/>
      <c r="H1600" s="637"/>
      <c r="I1600" s="637"/>
      <c r="J1600" s="637"/>
    </row>
    <row r="1601" spans="1:10" x14ac:dyDescent="0.2">
      <c r="A1601" s="626"/>
      <c r="B1601" s="637"/>
      <c r="C1601" s="637"/>
      <c r="D1601" s="637"/>
      <c r="E1601" s="637"/>
      <c r="F1601" s="637"/>
      <c r="G1601" s="637"/>
      <c r="H1601" s="637"/>
      <c r="I1601" s="637"/>
      <c r="J1601" s="637"/>
    </row>
    <row r="1602" spans="1:10" x14ac:dyDescent="0.2">
      <c r="A1602" s="626"/>
      <c r="B1602" s="637"/>
      <c r="C1602" s="637"/>
      <c r="D1602" s="637"/>
      <c r="E1602" s="637"/>
      <c r="F1602" s="637"/>
      <c r="G1602" s="637"/>
      <c r="H1602" s="637"/>
      <c r="I1602" s="637"/>
      <c r="J1602" s="637"/>
    </row>
    <row r="1603" spans="1:10" x14ac:dyDescent="0.2">
      <c r="A1603" s="626"/>
      <c r="B1603" s="637"/>
      <c r="C1603" s="637"/>
      <c r="D1603" s="637"/>
      <c r="E1603" s="637"/>
      <c r="F1603" s="637"/>
      <c r="G1603" s="637"/>
      <c r="H1603" s="637"/>
      <c r="I1603" s="637"/>
      <c r="J1603" s="637"/>
    </row>
    <row r="1604" spans="1:10" x14ac:dyDescent="0.2">
      <c r="A1604" s="626"/>
      <c r="B1604" s="637"/>
      <c r="C1604" s="637"/>
      <c r="D1604" s="637"/>
      <c r="E1604" s="637"/>
      <c r="F1604" s="637"/>
      <c r="G1604" s="637"/>
      <c r="H1604" s="637"/>
      <c r="I1604" s="637"/>
      <c r="J1604" s="637"/>
    </row>
    <row r="1605" spans="1:10" x14ac:dyDescent="0.2">
      <c r="A1605" s="626"/>
      <c r="B1605" s="637"/>
      <c r="C1605" s="637"/>
      <c r="D1605" s="637"/>
      <c r="E1605" s="637"/>
      <c r="F1605" s="637"/>
      <c r="G1605" s="637"/>
      <c r="H1605" s="637"/>
      <c r="I1605" s="637"/>
      <c r="J1605" s="637"/>
    </row>
    <row r="1606" spans="1:10" x14ac:dyDescent="0.2">
      <c r="A1606" s="626"/>
      <c r="B1606" s="637"/>
      <c r="C1606" s="637"/>
      <c r="D1606" s="637"/>
      <c r="E1606" s="637"/>
      <c r="F1606" s="637"/>
      <c r="G1606" s="637"/>
      <c r="H1606" s="637"/>
      <c r="I1606" s="637"/>
      <c r="J1606" s="637"/>
    </row>
    <row r="1607" spans="1:10" x14ac:dyDescent="0.2">
      <c r="A1607" s="626"/>
      <c r="B1607" s="637"/>
      <c r="C1607" s="637"/>
      <c r="D1607" s="637"/>
      <c r="E1607" s="637"/>
      <c r="F1607" s="637"/>
      <c r="G1607" s="637"/>
      <c r="H1607" s="637"/>
      <c r="I1607" s="637"/>
      <c r="J1607" s="637"/>
    </row>
    <row r="1608" spans="1:10" x14ac:dyDescent="0.2">
      <c r="A1608" s="626"/>
      <c r="B1608" s="637"/>
      <c r="C1608" s="637"/>
      <c r="D1608" s="637"/>
      <c r="E1608" s="637"/>
      <c r="F1608" s="637"/>
      <c r="G1608" s="637"/>
      <c r="H1608" s="637"/>
      <c r="I1608" s="637"/>
      <c r="J1608" s="637"/>
    </row>
    <row r="1609" spans="1:10" x14ac:dyDescent="0.2">
      <c r="A1609" s="626"/>
      <c r="B1609" s="637"/>
      <c r="C1609" s="637"/>
      <c r="D1609" s="637"/>
      <c r="E1609" s="637"/>
      <c r="F1609" s="637"/>
      <c r="G1609" s="637"/>
      <c r="H1609" s="637"/>
      <c r="I1609" s="637"/>
      <c r="J1609" s="637"/>
    </row>
    <row r="1610" spans="1:10" x14ac:dyDescent="0.2">
      <c r="A1610" s="626"/>
      <c r="B1610" s="637"/>
      <c r="C1610" s="637"/>
      <c r="D1610" s="637"/>
      <c r="E1610" s="637"/>
      <c r="F1610" s="637"/>
      <c r="G1610" s="637"/>
      <c r="H1610" s="637"/>
      <c r="I1610" s="637"/>
      <c r="J1610" s="637"/>
    </row>
    <row r="1611" spans="1:10" x14ac:dyDescent="0.2">
      <c r="A1611" s="626"/>
      <c r="B1611" s="637"/>
      <c r="C1611" s="637"/>
      <c r="D1611" s="637"/>
      <c r="E1611" s="637"/>
      <c r="F1611" s="637"/>
      <c r="G1611" s="637"/>
      <c r="H1611" s="637"/>
      <c r="I1611" s="637"/>
      <c r="J1611" s="637"/>
    </row>
    <row r="1612" spans="1:10" x14ac:dyDescent="0.2">
      <c r="A1612" s="626"/>
      <c r="B1612" s="637"/>
      <c r="C1612" s="637"/>
      <c r="D1612" s="637"/>
      <c r="E1612" s="637"/>
      <c r="F1612" s="637"/>
      <c r="G1612" s="637"/>
      <c r="H1612" s="637"/>
      <c r="I1612" s="637"/>
      <c r="J1612" s="637"/>
    </row>
    <row r="1613" spans="1:10" x14ac:dyDescent="0.2">
      <c r="A1613" s="626"/>
      <c r="B1613" s="637"/>
      <c r="C1613" s="637"/>
      <c r="D1613" s="637"/>
      <c r="E1613" s="637"/>
      <c r="F1613" s="637"/>
      <c r="G1613" s="637"/>
      <c r="H1613" s="637"/>
      <c r="I1613" s="637"/>
      <c r="J1613" s="637"/>
    </row>
    <row r="1614" spans="1:10" x14ac:dyDescent="0.2">
      <c r="A1614" s="626"/>
      <c r="B1614" s="637"/>
      <c r="C1614" s="637"/>
      <c r="D1614" s="637"/>
      <c r="E1614" s="637"/>
      <c r="F1614" s="637"/>
      <c r="G1614" s="637"/>
      <c r="H1614" s="637"/>
      <c r="I1614" s="637"/>
      <c r="J1614" s="637"/>
    </row>
    <row r="1615" spans="1:10" x14ac:dyDescent="0.2">
      <c r="A1615" s="626"/>
      <c r="B1615" s="637"/>
      <c r="C1615" s="637"/>
      <c r="D1615" s="637"/>
      <c r="E1615" s="637"/>
      <c r="F1615" s="637"/>
      <c r="G1615" s="637"/>
      <c r="H1615" s="637"/>
      <c r="I1615" s="637"/>
      <c r="J1615" s="637"/>
    </row>
    <row r="1616" spans="1:10" x14ac:dyDescent="0.2">
      <c r="A1616" s="626"/>
      <c r="B1616" s="637"/>
      <c r="C1616" s="637"/>
      <c r="D1616" s="637"/>
      <c r="E1616" s="637"/>
      <c r="F1616" s="637"/>
      <c r="G1616" s="637"/>
      <c r="H1616" s="637"/>
      <c r="I1616" s="637"/>
      <c r="J1616" s="637"/>
    </row>
    <row r="1617" spans="1:10" x14ac:dyDescent="0.2">
      <c r="A1617" s="626"/>
      <c r="B1617" s="637"/>
      <c r="C1617" s="637"/>
      <c r="D1617" s="637"/>
      <c r="E1617" s="637"/>
      <c r="F1617" s="637"/>
      <c r="G1617" s="637"/>
      <c r="H1617" s="637"/>
      <c r="I1617" s="637"/>
      <c r="J1617" s="637"/>
    </row>
    <row r="1618" spans="1:10" x14ac:dyDescent="0.2">
      <c r="A1618" s="626"/>
      <c r="B1618" s="637"/>
      <c r="C1618" s="637"/>
      <c r="D1618" s="637"/>
      <c r="E1618" s="637"/>
      <c r="F1618" s="637"/>
      <c r="G1618" s="637"/>
      <c r="H1618" s="637"/>
      <c r="I1618" s="637"/>
      <c r="J1618" s="637"/>
    </row>
    <row r="1619" spans="1:10" x14ac:dyDescent="0.2">
      <c r="A1619" s="626"/>
      <c r="B1619" s="637"/>
      <c r="C1619" s="637"/>
      <c r="D1619" s="637"/>
      <c r="E1619" s="637"/>
      <c r="F1619" s="637"/>
      <c r="G1619" s="637"/>
      <c r="H1619" s="637"/>
      <c r="I1619" s="637"/>
      <c r="J1619" s="637"/>
    </row>
    <row r="1620" spans="1:10" x14ac:dyDescent="0.2">
      <c r="A1620" s="626"/>
      <c r="B1620" s="637"/>
      <c r="C1620" s="637"/>
      <c r="D1620" s="637"/>
      <c r="E1620" s="637"/>
      <c r="F1620" s="637"/>
      <c r="G1620" s="637"/>
      <c r="H1620" s="637"/>
      <c r="I1620" s="637"/>
      <c r="J1620" s="637"/>
    </row>
    <row r="1621" spans="1:10" x14ac:dyDescent="0.2">
      <c r="A1621" s="626"/>
      <c r="B1621" s="637"/>
      <c r="C1621" s="637"/>
      <c r="D1621" s="637"/>
      <c r="E1621" s="637"/>
      <c r="F1621" s="637"/>
      <c r="G1621" s="637"/>
      <c r="H1621" s="637"/>
      <c r="I1621" s="637"/>
      <c r="J1621" s="637"/>
    </row>
    <row r="1622" spans="1:10" x14ac:dyDescent="0.2">
      <c r="A1622" s="626"/>
      <c r="B1622" s="637"/>
      <c r="C1622" s="637"/>
      <c r="D1622" s="637"/>
      <c r="E1622" s="637"/>
      <c r="F1622" s="637"/>
      <c r="G1622" s="637"/>
      <c r="H1622" s="637"/>
      <c r="I1622" s="637"/>
      <c r="J1622" s="637"/>
    </row>
    <row r="1623" spans="1:10" x14ac:dyDescent="0.2">
      <c r="A1623" s="626"/>
      <c r="B1623" s="637"/>
      <c r="C1623" s="637"/>
      <c r="D1623" s="637"/>
      <c r="E1623" s="637"/>
      <c r="F1623" s="637"/>
      <c r="G1623" s="637"/>
      <c r="H1623" s="637"/>
      <c r="I1623" s="637"/>
      <c r="J1623" s="637"/>
    </row>
    <row r="1624" spans="1:10" x14ac:dyDescent="0.2">
      <c r="A1624" s="626"/>
      <c r="B1624" s="637"/>
      <c r="C1624" s="637"/>
      <c r="D1624" s="637"/>
      <c r="E1624" s="637"/>
      <c r="F1624" s="637"/>
      <c r="G1624" s="637"/>
      <c r="H1624" s="637"/>
      <c r="I1624" s="637"/>
      <c r="J1624" s="637"/>
    </row>
    <row r="1625" spans="1:10" x14ac:dyDescent="0.2">
      <c r="A1625" s="626"/>
      <c r="B1625" s="637"/>
      <c r="C1625" s="637"/>
      <c r="D1625" s="637"/>
      <c r="E1625" s="637"/>
      <c r="F1625" s="637"/>
      <c r="G1625" s="637"/>
      <c r="H1625" s="637"/>
      <c r="I1625" s="637"/>
      <c r="J1625" s="637"/>
    </row>
    <row r="1626" spans="1:10" x14ac:dyDescent="0.2">
      <c r="A1626" s="626"/>
      <c r="B1626" s="637"/>
      <c r="C1626" s="637"/>
      <c r="D1626" s="637"/>
      <c r="E1626" s="637"/>
      <c r="F1626" s="637"/>
      <c r="G1626" s="637"/>
      <c r="H1626" s="637"/>
      <c r="I1626" s="637"/>
      <c r="J1626" s="637"/>
    </row>
    <row r="1627" spans="1:10" x14ac:dyDescent="0.2">
      <c r="A1627" s="626"/>
      <c r="B1627" s="637"/>
      <c r="C1627" s="637"/>
      <c r="D1627" s="637"/>
      <c r="E1627" s="637"/>
      <c r="F1627" s="637"/>
      <c r="G1627" s="637"/>
      <c r="H1627" s="637"/>
      <c r="I1627" s="637"/>
      <c r="J1627" s="637"/>
    </row>
    <row r="1628" spans="1:10" x14ac:dyDescent="0.2">
      <c r="A1628" s="626"/>
      <c r="B1628" s="637"/>
      <c r="C1628" s="637"/>
      <c r="D1628" s="637"/>
      <c r="E1628" s="637"/>
      <c r="F1628" s="637"/>
      <c r="G1628" s="637"/>
      <c r="H1628" s="637"/>
      <c r="I1628" s="637"/>
      <c r="J1628" s="637"/>
    </row>
    <row r="1629" spans="1:10" x14ac:dyDescent="0.2">
      <c r="A1629" s="626"/>
      <c r="B1629" s="637"/>
      <c r="C1629" s="637"/>
      <c r="D1629" s="637"/>
      <c r="E1629" s="637"/>
      <c r="F1629" s="637"/>
      <c r="G1629" s="637"/>
      <c r="H1629" s="637"/>
      <c r="I1629" s="637"/>
      <c r="J1629" s="637"/>
    </row>
    <row r="1630" spans="1:10" x14ac:dyDescent="0.2">
      <c r="A1630" s="626"/>
      <c r="B1630" s="637"/>
      <c r="C1630" s="637"/>
      <c r="D1630" s="637"/>
      <c r="E1630" s="637"/>
      <c r="F1630" s="637"/>
      <c r="G1630" s="637"/>
      <c r="H1630" s="637"/>
      <c r="I1630" s="637"/>
      <c r="J1630" s="637"/>
    </row>
    <row r="1631" spans="1:10" x14ac:dyDescent="0.2">
      <c r="A1631" s="626"/>
      <c r="B1631" s="637"/>
      <c r="C1631" s="637"/>
      <c r="D1631" s="637"/>
      <c r="E1631" s="637"/>
      <c r="F1631" s="637"/>
      <c r="G1631" s="637"/>
      <c r="H1631" s="637"/>
      <c r="I1631" s="637"/>
      <c r="J1631" s="637"/>
    </row>
    <row r="1632" spans="1:10" x14ac:dyDescent="0.2">
      <c r="A1632" s="626"/>
      <c r="B1632" s="637"/>
      <c r="C1632" s="637"/>
      <c r="D1632" s="637"/>
      <c r="E1632" s="637"/>
      <c r="F1632" s="637"/>
      <c r="G1632" s="637"/>
      <c r="H1632" s="637"/>
      <c r="I1632" s="637"/>
      <c r="J1632" s="637"/>
    </row>
    <row r="1633" spans="1:10" x14ac:dyDescent="0.2">
      <c r="A1633" s="626"/>
      <c r="B1633" s="637"/>
      <c r="C1633" s="637"/>
      <c r="D1633" s="637"/>
      <c r="E1633" s="637"/>
      <c r="F1633" s="637"/>
      <c r="G1633" s="637"/>
      <c r="H1633" s="637"/>
      <c r="I1633" s="637"/>
      <c r="J1633" s="637"/>
    </row>
    <row r="1634" spans="1:10" x14ac:dyDescent="0.2">
      <c r="A1634" s="626"/>
      <c r="B1634" s="637"/>
      <c r="C1634" s="637"/>
      <c r="D1634" s="637"/>
      <c r="E1634" s="637"/>
      <c r="F1634" s="637"/>
      <c r="G1634" s="637"/>
      <c r="H1634" s="637"/>
      <c r="I1634" s="637"/>
      <c r="J1634" s="637"/>
    </row>
    <row r="1635" spans="1:10" x14ac:dyDescent="0.2">
      <c r="A1635" s="626"/>
      <c r="B1635" s="637"/>
      <c r="C1635" s="637"/>
      <c r="D1635" s="637"/>
      <c r="E1635" s="637"/>
      <c r="F1635" s="637"/>
      <c r="G1635" s="637"/>
      <c r="H1635" s="637"/>
      <c r="I1635" s="637"/>
      <c r="J1635" s="637"/>
    </row>
    <row r="1636" spans="1:10" x14ac:dyDescent="0.2">
      <c r="A1636" s="626"/>
      <c r="B1636" s="637"/>
      <c r="C1636" s="637"/>
      <c r="D1636" s="637"/>
      <c r="E1636" s="637"/>
      <c r="F1636" s="637"/>
      <c r="G1636" s="637"/>
      <c r="H1636" s="637"/>
      <c r="I1636" s="637"/>
      <c r="J1636" s="637"/>
    </row>
    <row r="1637" spans="1:10" x14ac:dyDescent="0.2">
      <c r="A1637" s="626"/>
      <c r="B1637" s="637"/>
      <c r="C1637" s="637"/>
      <c r="D1637" s="637"/>
      <c r="E1637" s="637"/>
      <c r="F1637" s="637"/>
      <c r="G1637" s="637"/>
      <c r="H1637" s="637"/>
      <c r="I1637" s="637"/>
      <c r="J1637" s="637"/>
    </row>
    <row r="1638" spans="1:10" x14ac:dyDescent="0.2">
      <c r="A1638" s="626"/>
      <c r="B1638" s="637"/>
      <c r="C1638" s="637"/>
      <c r="D1638" s="637"/>
      <c r="E1638" s="637"/>
      <c r="F1638" s="637"/>
      <c r="G1638" s="637"/>
      <c r="H1638" s="637"/>
      <c r="I1638" s="637"/>
      <c r="J1638" s="637"/>
    </row>
    <row r="1639" spans="1:10" x14ac:dyDescent="0.2">
      <c r="A1639" s="626"/>
      <c r="B1639" s="637"/>
      <c r="C1639" s="637"/>
      <c r="D1639" s="637"/>
      <c r="E1639" s="637"/>
      <c r="F1639" s="637"/>
      <c r="G1639" s="637"/>
      <c r="H1639" s="637"/>
      <c r="I1639" s="637"/>
      <c r="J1639" s="637"/>
    </row>
    <row r="1640" spans="1:10" x14ac:dyDescent="0.2">
      <c r="A1640" s="626"/>
      <c r="B1640" s="637"/>
      <c r="C1640" s="637"/>
      <c r="D1640" s="637"/>
      <c r="E1640" s="637"/>
      <c r="F1640" s="637"/>
      <c r="G1640" s="637"/>
      <c r="H1640" s="637"/>
      <c r="I1640" s="637"/>
      <c r="J1640" s="637"/>
    </row>
    <row r="1641" spans="1:10" x14ac:dyDescent="0.2">
      <c r="A1641" s="626"/>
      <c r="B1641" s="637"/>
      <c r="C1641" s="637"/>
      <c r="D1641" s="637"/>
      <c r="E1641" s="637"/>
      <c r="F1641" s="637"/>
      <c r="G1641" s="637"/>
      <c r="H1641" s="637"/>
      <c r="I1641" s="637"/>
      <c r="J1641" s="637"/>
    </row>
    <row r="1642" spans="1:10" x14ac:dyDescent="0.2">
      <c r="A1642" s="626"/>
      <c r="B1642" s="637"/>
      <c r="C1642" s="637"/>
      <c r="D1642" s="637"/>
      <c r="E1642" s="637"/>
      <c r="F1642" s="637"/>
      <c r="G1642" s="637"/>
      <c r="H1642" s="637"/>
      <c r="I1642" s="637"/>
      <c r="J1642" s="637"/>
    </row>
    <row r="1643" spans="1:10" x14ac:dyDescent="0.2">
      <c r="A1643" s="626"/>
      <c r="B1643" s="637"/>
      <c r="C1643" s="637"/>
      <c r="D1643" s="637"/>
      <c r="E1643" s="637"/>
      <c r="F1643" s="637"/>
      <c r="G1643" s="637"/>
      <c r="H1643" s="637"/>
      <c r="I1643" s="637"/>
      <c r="J1643" s="637"/>
    </row>
    <row r="1644" spans="1:10" x14ac:dyDescent="0.2">
      <c r="A1644" s="626"/>
      <c r="B1644" s="637"/>
      <c r="C1644" s="637"/>
      <c r="D1644" s="637"/>
      <c r="E1644" s="637"/>
      <c r="F1644" s="637"/>
      <c r="G1644" s="637"/>
      <c r="H1644" s="637"/>
      <c r="I1644" s="637"/>
      <c r="J1644" s="637"/>
    </row>
    <row r="1645" spans="1:10" x14ac:dyDescent="0.2">
      <c r="A1645" s="626"/>
      <c r="B1645" s="637"/>
      <c r="C1645" s="637"/>
      <c r="D1645" s="637"/>
      <c r="E1645" s="637"/>
      <c r="F1645" s="637"/>
      <c r="G1645" s="637"/>
      <c r="H1645" s="637"/>
      <c r="I1645" s="637"/>
      <c r="J1645" s="637"/>
    </row>
    <row r="1646" spans="1:10" x14ac:dyDescent="0.2">
      <c r="A1646" s="626"/>
      <c r="B1646" s="637"/>
      <c r="C1646" s="637"/>
      <c r="D1646" s="637"/>
      <c r="E1646" s="637"/>
      <c r="F1646" s="637"/>
      <c r="G1646" s="637"/>
      <c r="H1646" s="637"/>
      <c r="I1646" s="637"/>
      <c r="J1646" s="637"/>
    </row>
    <row r="1647" spans="1:10" x14ac:dyDescent="0.2">
      <c r="A1647" s="626"/>
      <c r="B1647" s="637"/>
      <c r="C1647" s="637"/>
      <c r="D1647" s="637"/>
      <c r="E1647" s="637"/>
      <c r="F1647" s="637"/>
      <c r="G1647" s="637"/>
      <c r="H1647" s="637"/>
      <c r="I1647" s="637"/>
      <c r="J1647" s="637"/>
    </row>
    <row r="1648" spans="1:10" x14ac:dyDescent="0.2">
      <c r="A1648" s="626"/>
      <c r="B1648" s="637"/>
      <c r="C1648" s="637"/>
      <c r="D1648" s="637"/>
      <c r="E1648" s="637"/>
      <c r="F1648" s="637"/>
      <c r="G1648" s="637"/>
      <c r="H1648" s="637"/>
      <c r="I1648" s="637"/>
      <c r="J1648" s="637"/>
    </row>
    <row r="1649" spans="1:10" x14ac:dyDescent="0.2">
      <c r="A1649" s="626"/>
      <c r="B1649" s="637"/>
      <c r="C1649" s="637"/>
      <c r="D1649" s="637"/>
      <c r="E1649" s="637"/>
      <c r="F1649" s="637"/>
      <c r="G1649" s="637"/>
      <c r="H1649" s="637"/>
      <c r="I1649" s="637"/>
      <c r="J1649" s="637"/>
    </row>
    <row r="1650" spans="1:10" x14ac:dyDescent="0.2">
      <c r="A1650" s="626"/>
      <c r="B1650" s="637"/>
      <c r="C1650" s="637"/>
      <c r="D1650" s="637"/>
      <c r="E1650" s="637"/>
      <c r="F1650" s="637"/>
      <c r="G1650" s="637"/>
      <c r="H1650" s="637"/>
      <c r="I1650" s="637"/>
      <c r="J1650" s="637"/>
    </row>
    <row r="1651" spans="1:10" x14ac:dyDescent="0.2">
      <c r="A1651" s="626"/>
      <c r="B1651" s="637"/>
      <c r="C1651" s="637"/>
      <c r="D1651" s="637"/>
      <c r="E1651" s="637"/>
      <c r="F1651" s="637"/>
      <c r="G1651" s="637"/>
      <c r="H1651" s="637"/>
      <c r="I1651" s="637"/>
      <c r="J1651" s="637"/>
    </row>
    <row r="1652" spans="1:10" x14ac:dyDescent="0.2">
      <c r="A1652" s="626"/>
      <c r="B1652" s="637"/>
      <c r="C1652" s="637"/>
      <c r="D1652" s="637"/>
      <c r="E1652" s="637"/>
      <c r="F1652" s="637"/>
      <c r="G1652" s="637"/>
      <c r="H1652" s="637"/>
      <c r="I1652" s="637"/>
      <c r="J1652" s="637"/>
    </row>
    <row r="1653" spans="1:10" x14ac:dyDescent="0.2">
      <c r="A1653" s="626"/>
      <c r="B1653" s="637"/>
      <c r="C1653" s="637"/>
      <c r="D1653" s="637"/>
      <c r="E1653" s="637"/>
      <c r="F1653" s="637"/>
      <c r="G1653" s="637"/>
      <c r="H1653" s="637"/>
      <c r="I1653" s="637"/>
      <c r="J1653" s="637"/>
    </row>
    <row r="1654" spans="1:10" x14ac:dyDescent="0.2">
      <c r="A1654" s="626"/>
      <c r="B1654" s="637"/>
      <c r="C1654" s="637"/>
      <c r="D1654" s="637"/>
      <c r="E1654" s="637"/>
      <c r="F1654" s="637"/>
      <c r="G1654" s="637"/>
      <c r="H1654" s="637"/>
      <c r="I1654" s="637"/>
      <c r="J1654" s="637"/>
    </row>
    <row r="1655" spans="1:10" x14ac:dyDescent="0.2">
      <c r="A1655" s="626"/>
      <c r="B1655" s="637"/>
      <c r="C1655" s="637"/>
      <c r="D1655" s="637"/>
      <c r="E1655" s="637"/>
      <c r="F1655" s="637"/>
      <c r="G1655" s="637"/>
      <c r="H1655" s="637"/>
      <c r="I1655" s="637"/>
      <c r="J1655" s="637"/>
    </row>
    <row r="1656" spans="1:10" x14ac:dyDescent="0.2">
      <c r="A1656" s="626"/>
      <c r="B1656" s="637"/>
      <c r="C1656" s="637"/>
      <c r="D1656" s="637"/>
      <c r="E1656" s="637"/>
      <c r="F1656" s="637"/>
      <c r="G1656" s="637"/>
      <c r="H1656" s="637"/>
      <c r="I1656" s="637"/>
      <c r="J1656" s="637"/>
    </row>
    <row r="1657" spans="1:10" x14ac:dyDescent="0.2">
      <c r="A1657" s="626"/>
      <c r="B1657" s="637"/>
      <c r="C1657" s="637"/>
      <c r="D1657" s="637"/>
      <c r="E1657" s="637"/>
      <c r="F1657" s="637"/>
      <c r="G1657" s="637"/>
      <c r="H1657" s="637"/>
      <c r="I1657" s="637"/>
      <c r="J1657" s="637"/>
    </row>
    <row r="1658" spans="1:10" x14ac:dyDescent="0.2">
      <c r="A1658" s="626"/>
      <c r="B1658" s="637"/>
      <c r="C1658" s="637"/>
      <c r="D1658" s="637"/>
      <c r="E1658" s="637"/>
      <c r="F1658" s="637"/>
      <c r="G1658" s="637"/>
      <c r="H1658" s="637"/>
      <c r="I1658" s="637"/>
      <c r="J1658" s="637"/>
    </row>
    <row r="1659" spans="1:10" x14ac:dyDescent="0.2">
      <c r="A1659" s="626"/>
      <c r="B1659" s="637"/>
      <c r="C1659" s="637"/>
      <c r="D1659" s="637"/>
      <c r="E1659" s="637"/>
      <c r="F1659" s="637"/>
      <c r="G1659" s="637"/>
      <c r="H1659" s="637"/>
      <c r="I1659" s="637"/>
      <c r="J1659" s="637"/>
    </row>
    <row r="1660" spans="1:10" x14ac:dyDescent="0.2">
      <c r="A1660" s="626"/>
      <c r="B1660" s="637"/>
      <c r="C1660" s="637"/>
      <c r="D1660" s="637"/>
      <c r="E1660" s="637"/>
      <c r="F1660" s="637"/>
      <c r="G1660" s="637"/>
      <c r="H1660" s="637"/>
      <c r="I1660" s="637"/>
      <c r="J1660" s="637"/>
    </row>
    <row r="1661" spans="1:10" x14ac:dyDescent="0.2">
      <c r="A1661" s="626"/>
      <c r="B1661" s="637"/>
      <c r="C1661" s="637"/>
      <c r="D1661" s="637"/>
      <c r="E1661" s="637"/>
      <c r="F1661" s="637"/>
      <c r="G1661" s="637"/>
      <c r="H1661" s="637"/>
      <c r="I1661" s="637"/>
      <c r="J1661" s="637"/>
    </row>
    <row r="1662" spans="1:10" x14ac:dyDescent="0.2">
      <c r="A1662" s="626"/>
      <c r="B1662" s="637"/>
      <c r="C1662" s="637"/>
      <c r="D1662" s="637"/>
      <c r="E1662" s="637"/>
      <c r="F1662" s="637"/>
      <c r="G1662" s="637"/>
      <c r="H1662" s="637"/>
      <c r="I1662" s="637"/>
      <c r="J1662" s="637"/>
    </row>
    <row r="1663" spans="1:10" x14ac:dyDescent="0.2">
      <c r="A1663" s="626"/>
      <c r="B1663" s="637"/>
      <c r="C1663" s="637"/>
      <c r="D1663" s="637"/>
      <c r="E1663" s="637"/>
      <c r="F1663" s="637"/>
      <c r="G1663" s="637"/>
      <c r="H1663" s="637"/>
      <c r="I1663" s="637"/>
      <c r="J1663" s="637"/>
    </row>
    <row r="1664" spans="1:10" x14ac:dyDescent="0.2">
      <c r="A1664" s="626"/>
      <c r="B1664" s="637"/>
      <c r="C1664" s="637"/>
      <c r="D1664" s="637"/>
      <c r="E1664" s="637"/>
      <c r="F1664" s="637"/>
      <c r="G1664" s="637"/>
      <c r="H1664" s="637"/>
      <c r="I1664" s="637"/>
      <c r="J1664" s="637"/>
    </row>
    <row r="1665" spans="1:10" x14ac:dyDescent="0.2">
      <c r="A1665" s="626"/>
      <c r="B1665" s="637"/>
      <c r="C1665" s="637"/>
      <c r="D1665" s="637"/>
      <c r="E1665" s="637"/>
      <c r="F1665" s="637"/>
      <c r="G1665" s="637"/>
      <c r="H1665" s="637"/>
      <c r="I1665" s="637"/>
      <c r="J1665" s="637"/>
    </row>
    <row r="1666" spans="1:10" x14ac:dyDescent="0.2">
      <c r="A1666" s="626"/>
      <c r="B1666" s="637"/>
      <c r="C1666" s="637"/>
      <c r="D1666" s="637"/>
      <c r="E1666" s="637"/>
      <c r="F1666" s="637"/>
      <c r="G1666" s="637"/>
      <c r="H1666" s="637"/>
      <c r="I1666" s="637"/>
      <c r="J1666" s="637"/>
    </row>
    <row r="1667" spans="1:10" x14ac:dyDescent="0.2">
      <c r="A1667" s="626"/>
      <c r="B1667" s="637"/>
      <c r="C1667" s="637"/>
      <c r="D1667" s="637"/>
      <c r="E1667" s="637"/>
      <c r="F1667" s="637"/>
      <c r="G1667" s="637"/>
      <c r="H1667" s="637"/>
      <c r="I1667" s="637"/>
      <c r="J1667" s="637"/>
    </row>
    <row r="1668" spans="1:10" x14ac:dyDescent="0.2">
      <c r="A1668" s="626"/>
      <c r="B1668" s="637"/>
      <c r="C1668" s="637"/>
      <c r="D1668" s="637"/>
      <c r="E1668" s="637"/>
      <c r="F1668" s="637"/>
      <c r="G1668" s="637"/>
      <c r="H1668" s="637"/>
      <c r="I1668" s="637"/>
      <c r="J1668" s="637"/>
    </row>
    <row r="1669" spans="1:10" x14ac:dyDescent="0.2">
      <c r="A1669" s="626"/>
      <c r="B1669" s="637"/>
      <c r="C1669" s="637"/>
      <c r="D1669" s="637"/>
      <c r="E1669" s="637"/>
      <c r="F1669" s="637"/>
      <c r="G1669" s="637"/>
      <c r="H1669" s="637"/>
      <c r="I1669" s="637"/>
      <c r="J1669" s="637"/>
    </row>
    <row r="1670" spans="1:10" x14ac:dyDescent="0.2">
      <c r="A1670" s="626"/>
      <c r="B1670" s="637"/>
      <c r="C1670" s="637"/>
      <c r="D1670" s="637"/>
      <c r="E1670" s="637"/>
      <c r="F1670" s="637"/>
      <c r="G1670" s="637"/>
      <c r="H1670" s="637"/>
      <c r="I1670" s="637"/>
      <c r="J1670" s="637"/>
    </row>
    <row r="1671" spans="1:10" x14ac:dyDescent="0.2">
      <c r="A1671" s="626"/>
      <c r="B1671" s="637"/>
      <c r="C1671" s="637"/>
      <c r="D1671" s="637"/>
      <c r="E1671" s="637"/>
      <c r="F1671" s="637"/>
      <c r="G1671" s="637"/>
      <c r="H1671" s="637"/>
      <c r="I1671" s="637"/>
      <c r="J1671" s="637"/>
    </row>
    <row r="1672" spans="1:10" x14ac:dyDescent="0.2">
      <c r="A1672" s="626"/>
      <c r="B1672" s="637"/>
      <c r="C1672" s="637"/>
      <c r="D1672" s="637"/>
      <c r="E1672" s="637"/>
      <c r="F1672" s="637"/>
      <c r="G1672" s="637"/>
      <c r="H1672" s="637"/>
      <c r="I1672" s="637"/>
      <c r="J1672" s="637"/>
    </row>
    <row r="1673" spans="1:10" x14ac:dyDescent="0.2">
      <c r="A1673" s="626"/>
      <c r="B1673" s="637"/>
      <c r="C1673" s="637"/>
      <c r="D1673" s="637"/>
      <c r="E1673" s="637"/>
      <c r="F1673" s="637"/>
      <c r="G1673" s="637"/>
      <c r="H1673" s="637"/>
      <c r="I1673" s="637"/>
      <c r="J1673" s="637"/>
    </row>
    <row r="1674" spans="1:10" x14ac:dyDescent="0.2">
      <c r="A1674" s="626"/>
      <c r="B1674" s="637"/>
      <c r="C1674" s="637"/>
      <c r="D1674" s="637"/>
      <c r="E1674" s="637"/>
      <c r="F1674" s="637"/>
      <c r="G1674" s="637"/>
      <c r="H1674" s="637"/>
      <c r="I1674" s="637"/>
      <c r="J1674" s="637"/>
    </row>
    <row r="1675" spans="1:10" x14ac:dyDescent="0.2">
      <c r="A1675" s="626"/>
      <c r="B1675" s="637"/>
      <c r="C1675" s="637"/>
      <c r="D1675" s="637"/>
      <c r="E1675" s="637"/>
      <c r="F1675" s="637"/>
      <c r="G1675" s="637"/>
      <c r="H1675" s="637"/>
      <c r="I1675" s="637"/>
      <c r="J1675" s="637"/>
    </row>
    <row r="1676" spans="1:10" x14ac:dyDescent="0.2">
      <c r="A1676" s="626"/>
      <c r="B1676" s="637"/>
      <c r="C1676" s="637"/>
      <c r="D1676" s="637"/>
      <c r="E1676" s="637"/>
      <c r="F1676" s="637"/>
      <c r="G1676" s="637"/>
      <c r="H1676" s="637"/>
      <c r="I1676" s="637"/>
      <c r="J1676" s="637"/>
    </row>
    <row r="1677" spans="1:10" x14ac:dyDescent="0.2">
      <c r="A1677" s="626"/>
      <c r="B1677" s="637"/>
      <c r="C1677" s="637"/>
      <c r="D1677" s="637"/>
      <c r="E1677" s="637"/>
      <c r="F1677" s="637"/>
      <c r="G1677" s="637"/>
      <c r="H1677" s="637"/>
      <c r="I1677" s="637"/>
      <c r="J1677" s="637"/>
    </row>
    <row r="1678" spans="1:10" x14ac:dyDescent="0.2">
      <c r="A1678" s="626"/>
      <c r="B1678" s="637"/>
      <c r="C1678" s="637"/>
      <c r="D1678" s="637"/>
      <c r="E1678" s="637"/>
      <c r="F1678" s="637"/>
      <c r="G1678" s="637"/>
      <c r="H1678" s="637"/>
      <c r="I1678" s="637"/>
      <c r="J1678" s="637"/>
    </row>
    <row r="1679" spans="1:10" x14ac:dyDescent="0.2">
      <c r="A1679" s="626"/>
      <c r="B1679" s="637"/>
      <c r="C1679" s="637"/>
      <c r="D1679" s="637"/>
      <c r="E1679" s="637"/>
      <c r="F1679" s="637"/>
      <c r="G1679" s="637"/>
      <c r="H1679" s="637"/>
      <c r="I1679" s="637"/>
      <c r="J1679" s="637"/>
    </row>
    <row r="1680" spans="1:10" x14ac:dyDescent="0.2">
      <c r="A1680" s="626"/>
      <c r="B1680" s="637"/>
      <c r="C1680" s="637"/>
      <c r="D1680" s="637"/>
      <c r="E1680" s="637"/>
      <c r="F1680" s="637"/>
      <c r="G1680" s="637"/>
      <c r="H1680" s="637"/>
      <c r="I1680" s="637"/>
      <c r="J1680" s="637"/>
    </row>
    <row r="1681" spans="1:10" x14ac:dyDescent="0.2">
      <c r="A1681" s="626"/>
      <c r="B1681" s="637"/>
      <c r="C1681" s="637"/>
      <c r="D1681" s="637"/>
      <c r="E1681" s="637"/>
      <c r="F1681" s="637"/>
      <c r="G1681" s="637"/>
      <c r="H1681" s="637"/>
      <c r="I1681" s="637"/>
      <c r="J1681" s="637"/>
    </row>
    <row r="1682" spans="1:10" x14ac:dyDescent="0.2">
      <c r="A1682" s="626"/>
      <c r="B1682" s="637"/>
      <c r="C1682" s="637"/>
      <c r="D1682" s="637"/>
      <c r="E1682" s="637"/>
      <c r="F1682" s="637"/>
      <c r="G1682" s="637"/>
      <c r="H1682" s="637"/>
      <c r="I1682" s="637"/>
      <c r="J1682" s="637"/>
    </row>
    <row r="1683" spans="1:10" x14ac:dyDescent="0.2">
      <c r="A1683" s="626"/>
      <c r="B1683" s="637"/>
      <c r="C1683" s="637"/>
      <c r="D1683" s="637"/>
      <c r="E1683" s="637"/>
      <c r="F1683" s="637"/>
      <c r="G1683" s="637"/>
      <c r="H1683" s="637"/>
      <c r="I1683" s="637"/>
      <c r="J1683" s="637"/>
    </row>
    <row r="1684" spans="1:10" x14ac:dyDescent="0.2">
      <c r="A1684" s="626"/>
      <c r="B1684" s="637"/>
      <c r="C1684" s="637"/>
      <c r="D1684" s="637"/>
      <c r="E1684" s="637"/>
      <c r="F1684" s="637"/>
      <c r="G1684" s="637"/>
      <c r="H1684" s="637"/>
      <c r="I1684" s="637"/>
      <c r="J1684" s="637"/>
    </row>
    <row r="1685" spans="1:10" x14ac:dyDescent="0.2">
      <c r="A1685" s="626"/>
      <c r="B1685" s="637"/>
      <c r="C1685" s="637"/>
      <c r="D1685" s="637"/>
      <c r="E1685" s="637"/>
      <c r="F1685" s="637"/>
      <c r="G1685" s="637"/>
      <c r="H1685" s="637"/>
      <c r="I1685" s="637"/>
      <c r="J1685" s="637"/>
    </row>
    <row r="1686" spans="1:10" x14ac:dyDescent="0.2">
      <c r="A1686" s="626"/>
      <c r="B1686" s="637"/>
      <c r="C1686" s="637"/>
      <c r="D1686" s="637"/>
      <c r="E1686" s="637"/>
      <c r="F1686" s="637"/>
      <c r="G1686" s="637"/>
      <c r="H1686" s="637"/>
      <c r="I1686" s="637"/>
      <c r="J1686" s="637"/>
    </row>
    <row r="1687" spans="1:10" x14ac:dyDescent="0.2">
      <c r="A1687" s="626"/>
      <c r="B1687" s="637"/>
      <c r="C1687" s="637"/>
      <c r="D1687" s="637"/>
      <c r="E1687" s="637"/>
      <c r="F1687" s="637"/>
      <c r="G1687" s="637"/>
      <c r="H1687" s="637"/>
      <c r="I1687" s="637"/>
      <c r="J1687" s="637"/>
    </row>
    <row r="1688" spans="1:10" x14ac:dyDescent="0.2">
      <c r="A1688" s="626"/>
      <c r="B1688" s="637"/>
      <c r="C1688" s="637"/>
      <c r="D1688" s="637"/>
      <c r="E1688" s="637"/>
      <c r="F1688" s="637"/>
      <c r="G1688" s="637"/>
      <c r="H1688" s="637"/>
      <c r="I1688" s="637"/>
      <c r="J1688" s="637"/>
    </row>
    <row r="1689" spans="1:10" x14ac:dyDescent="0.2">
      <c r="A1689" s="626"/>
      <c r="B1689" s="637"/>
      <c r="C1689" s="637"/>
      <c r="D1689" s="637"/>
      <c r="E1689" s="637"/>
      <c r="F1689" s="637"/>
      <c r="G1689" s="637"/>
      <c r="H1689" s="637"/>
      <c r="I1689" s="637"/>
      <c r="J1689" s="637"/>
    </row>
    <row r="1690" spans="1:10" x14ac:dyDescent="0.2">
      <c r="A1690" s="626"/>
      <c r="B1690" s="637"/>
      <c r="C1690" s="637"/>
      <c r="D1690" s="637"/>
      <c r="E1690" s="637"/>
      <c r="F1690" s="637"/>
      <c r="G1690" s="637"/>
      <c r="H1690" s="637"/>
      <c r="I1690" s="637"/>
      <c r="J1690" s="637"/>
    </row>
    <row r="1691" spans="1:10" x14ac:dyDescent="0.2">
      <c r="A1691" s="626"/>
      <c r="B1691" s="637"/>
      <c r="C1691" s="637"/>
      <c r="D1691" s="637"/>
      <c r="E1691" s="637"/>
      <c r="F1691" s="637"/>
      <c r="G1691" s="637"/>
      <c r="H1691" s="637"/>
      <c r="I1691" s="637"/>
      <c r="J1691" s="637"/>
    </row>
    <row r="1692" spans="1:10" x14ac:dyDescent="0.2">
      <c r="A1692" s="626"/>
      <c r="B1692" s="637"/>
      <c r="C1692" s="637"/>
      <c r="D1692" s="637"/>
      <c r="E1692" s="637"/>
      <c r="F1692" s="637"/>
      <c r="G1692" s="637"/>
      <c r="H1692" s="637"/>
      <c r="I1692" s="637"/>
      <c r="J1692" s="637"/>
    </row>
    <row r="1693" spans="1:10" x14ac:dyDescent="0.2">
      <c r="A1693" s="626"/>
      <c r="B1693" s="637"/>
      <c r="C1693" s="637"/>
      <c r="D1693" s="637"/>
      <c r="E1693" s="637"/>
      <c r="F1693" s="637"/>
      <c r="G1693" s="637"/>
      <c r="H1693" s="637"/>
      <c r="I1693" s="637"/>
      <c r="J1693" s="637"/>
    </row>
    <row r="1694" spans="1:10" x14ac:dyDescent="0.2">
      <c r="A1694" s="626"/>
      <c r="B1694" s="637"/>
      <c r="C1694" s="637"/>
      <c r="D1694" s="637"/>
      <c r="E1694" s="637"/>
      <c r="F1694" s="637"/>
      <c r="G1694" s="637"/>
      <c r="H1694" s="637"/>
      <c r="I1694" s="637"/>
      <c r="J1694" s="637"/>
    </row>
    <row r="1695" spans="1:10" x14ac:dyDescent="0.2">
      <c r="A1695" s="626"/>
      <c r="B1695" s="637"/>
      <c r="C1695" s="637"/>
      <c r="D1695" s="637"/>
      <c r="E1695" s="637"/>
      <c r="F1695" s="637"/>
      <c r="G1695" s="637"/>
      <c r="H1695" s="637"/>
      <c r="I1695" s="637"/>
      <c r="J1695" s="637"/>
    </row>
    <row r="1696" spans="1:10" x14ac:dyDescent="0.2">
      <c r="A1696" s="626"/>
      <c r="B1696" s="637"/>
      <c r="C1696" s="637"/>
      <c r="D1696" s="637"/>
      <c r="E1696" s="637"/>
      <c r="F1696" s="637"/>
      <c r="G1696" s="637"/>
      <c r="H1696" s="637"/>
      <c r="I1696" s="637"/>
      <c r="J1696" s="637"/>
    </row>
    <row r="1697" spans="1:10" x14ac:dyDescent="0.2">
      <c r="A1697" s="626"/>
      <c r="B1697" s="637"/>
      <c r="C1697" s="637"/>
      <c r="D1697" s="637"/>
      <c r="E1697" s="637"/>
      <c r="F1697" s="637"/>
      <c r="G1697" s="637"/>
      <c r="H1697" s="637"/>
      <c r="I1697" s="637"/>
      <c r="J1697" s="637"/>
    </row>
    <row r="1698" spans="1:10" x14ac:dyDescent="0.2">
      <c r="A1698" s="626"/>
      <c r="B1698" s="637"/>
      <c r="C1698" s="637"/>
      <c r="D1698" s="637"/>
      <c r="E1698" s="637"/>
      <c r="F1698" s="637"/>
      <c r="G1698" s="637"/>
      <c r="H1698" s="637"/>
      <c r="I1698" s="637"/>
      <c r="J1698" s="637"/>
    </row>
    <row r="1699" spans="1:10" x14ac:dyDescent="0.2">
      <c r="A1699" s="626"/>
      <c r="B1699" s="637"/>
      <c r="C1699" s="637"/>
      <c r="D1699" s="637"/>
      <c r="E1699" s="637"/>
      <c r="F1699" s="637"/>
      <c r="G1699" s="637"/>
      <c r="H1699" s="637"/>
      <c r="I1699" s="637"/>
      <c r="J1699" s="637"/>
    </row>
    <row r="1700" spans="1:10" x14ac:dyDescent="0.2">
      <c r="A1700" s="626"/>
      <c r="B1700" s="637"/>
      <c r="C1700" s="637"/>
      <c r="D1700" s="637"/>
      <c r="E1700" s="637"/>
      <c r="F1700" s="637"/>
      <c r="G1700" s="637"/>
      <c r="H1700" s="637"/>
      <c r="I1700" s="637"/>
      <c r="J1700" s="637"/>
    </row>
    <row r="1701" spans="1:10" x14ac:dyDescent="0.2">
      <c r="A1701" s="626"/>
      <c r="B1701" s="637"/>
      <c r="C1701" s="637"/>
      <c r="D1701" s="637"/>
      <c r="E1701" s="637"/>
      <c r="F1701" s="637"/>
      <c r="G1701" s="637"/>
      <c r="H1701" s="637"/>
      <c r="I1701" s="637"/>
      <c r="J1701" s="637"/>
    </row>
    <row r="1702" spans="1:10" x14ac:dyDescent="0.2">
      <c r="A1702" s="626"/>
      <c r="B1702" s="637"/>
      <c r="C1702" s="637"/>
      <c r="D1702" s="637"/>
      <c r="E1702" s="637"/>
      <c r="F1702" s="637"/>
      <c r="G1702" s="637"/>
      <c r="H1702" s="637"/>
      <c r="I1702" s="637"/>
      <c r="J1702" s="637"/>
    </row>
    <row r="1703" spans="1:10" x14ac:dyDescent="0.2">
      <c r="A1703" s="626"/>
      <c r="B1703" s="637"/>
      <c r="C1703" s="637"/>
      <c r="D1703" s="637"/>
      <c r="E1703" s="637"/>
      <c r="F1703" s="637"/>
      <c r="G1703" s="637"/>
      <c r="H1703" s="637"/>
      <c r="I1703" s="637"/>
      <c r="J1703" s="637"/>
    </row>
    <row r="1704" spans="1:10" x14ac:dyDescent="0.2">
      <c r="A1704" s="626"/>
      <c r="B1704" s="637"/>
      <c r="C1704" s="637"/>
      <c r="D1704" s="637"/>
      <c r="E1704" s="637"/>
      <c r="F1704" s="637"/>
      <c r="G1704" s="637"/>
      <c r="H1704" s="637"/>
      <c r="I1704" s="637"/>
      <c r="J1704" s="637"/>
    </row>
    <row r="1705" spans="1:10" x14ac:dyDescent="0.2">
      <c r="A1705" s="626"/>
      <c r="B1705" s="637"/>
      <c r="C1705" s="637"/>
      <c r="D1705" s="637"/>
      <c r="E1705" s="637"/>
      <c r="F1705" s="637"/>
      <c r="G1705" s="637"/>
      <c r="H1705" s="637"/>
      <c r="I1705" s="637"/>
      <c r="J1705" s="637"/>
    </row>
    <row r="1706" spans="1:10" x14ac:dyDescent="0.2">
      <c r="A1706" s="626"/>
      <c r="B1706" s="637"/>
      <c r="C1706" s="637"/>
      <c r="D1706" s="637"/>
      <c r="E1706" s="637"/>
      <c r="F1706" s="637"/>
      <c r="G1706" s="637"/>
      <c r="H1706" s="637"/>
      <c r="I1706" s="637"/>
      <c r="J1706" s="637"/>
    </row>
    <row r="1707" spans="1:10" x14ac:dyDescent="0.2">
      <c r="A1707" s="626"/>
      <c r="B1707" s="637"/>
      <c r="C1707" s="637"/>
      <c r="D1707" s="637"/>
      <c r="E1707" s="637"/>
      <c r="F1707" s="637"/>
      <c r="G1707" s="637"/>
      <c r="H1707" s="637"/>
      <c r="I1707" s="637"/>
      <c r="J1707" s="637"/>
    </row>
    <row r="1708" spans="1:10" x14ac:dyDescent="0.2">
      <c r="A1708" s="626"/>
      <c r="B1708" s="637"/>
      <c r="C1708" s="637"/>
      <c r="D1708" s="637"/>
      <c r="E1708" s="637"/>
      <c r="F1708" s="637"/>
      <c r="G1708" s="637"/>
      <c r="H1708" s="637"/>
      <c r="I1708" s="637"/>
      <c r="J1708" s="637"/>
    </row>
    <row r="1709" spans="1:10" x14ac:dyDescent="0.2">
      <c r="A1709" s="626"/>
      <c r="B1709" s="637"/>
      <c r="C1709" s="637"/>
      <c r="D1709" s="637"/>
      <c r="E1709" s="637"/>
      <c r="F1709" s="637"/>
      <c r="G1709" s="637"/>
      <c r="H1709" s="637"/>
      <c r="I1709" s="637"/>
      <c r="J1709" s="637"/>
    </row>
    <row r="1710" spans="1:10" x14ac:dyDescent="0.2">
      <c r="A1710" s="626"/>
      <c r="B1710" s="637"/>
      <c r="C1710" s="637"/>
      <c r="D1710" s="637"/>
      <c r="E1710" s="637"/>
      <c r="F1710" s="637"/>
      <c r="G1710" s="637"/>
      <c r="H1710" s="637"/>
      <c r="I1710" s="637"/>
      <c r="J1710" s="637"/>
    </row>
    <row r="1711" spans="1:10" x14ac:dyDescent="0.2">
      <c r="A1711" s="626"/>
      <c r="B1711" s="637"/>
      <c r="C1711" s="637"/>
      <c r="D1711" s="637"/>
      <c r="E1711" s="637"/>
      <c r="F1711" s="637"/>
      <c r="G1711" s="637"/>
      <c r="H1711" s="637"/>
      <c r="I1711" s="637"/>
      <c r="J1711" s="637"/>
    </row>
    <row r="1712" spans="1:10" x14ac:dyDescent="0.2">
      <c r="A1712" s="626"/>
      <c r="B1712" s="637"/>
      <c r="C1712" s="637"/>
      <c r="D1712" s="637"/>
      <c r="E1712" s="637"/>
      <c r="F1712" s="637"/>
      <c r="G1712" s="637"/>
      <c r="H1712" s="637"/>
      <c r="I1712" s="637"/>
      <c r="J1712" s="637"/>
    </row>
    <row r="1713" spans="1:10" x14ac:dyDescent="0.2">
      <c r="A1713" s="626"/>
      <c r="B1713" s="637"/>
      <c r="C1713" s="637"/>
      <c r="D1713" s="637"/>
      <c r="E1713" s="637"/>
      <c r="F1713" s="637"/>
      <c r="G1713" s="637"/>
      <c r="H1713" s="637"/>
      <c r="I1713" s="637"/>
      <c r="J1713" s="637"/>
    </row>
    <row r="1714" spans="1:10" x14ac:dyDescent="0.2">
      <c r="A1714" s="626"/>
      <c r="B1714" s="637"/>
      <c r="C1714" s="637"/>
      <c r="D1714" s="637"/>
      <c r="E1714" s="637"/>
      <c r="F1714" s="637"/>
      <c r="G1714" s="637"/>
      <c r="H1714" s="637"/>
      <c r="I1714" s="637"/>
      <c r="J1714" s="637"/>
    </row>
    <row r="1715" spans="1:10" x14ac:dyDescent="0.2">
      <c r="A1715" s="626"/>
      <c r="B1715" s="637"/>
      <c r="C1715" s="637"/>
      <c r="D1715" s="637"/>
      <c r="E1715" s="637"/>
      <c r="F1715" s="637"/>
      <c r="G1715" s="637"/>
      <c r="H1715" s="637"/>
      <c r="I1715" s="637"/>
      <c r="J1715" s="637"/>
    </row>
    <row r="1716" spans="1:10" x14ac:dyDescent="0.2">
      <c r="A1716" s="626"/>
      <c r="B1716" s="637"/>
      <c r="C1716" s="637"/>
      <c r="D1716" s="637"/>
      <c r="E1716" s="637"/>
      <c r="F1716" s="637"/>
      <c r="G1716" s="637"/>
      <c r="H1716" s="637"/>
      <c r="I1716" s="637"/>
      <c r="J1716" s="637"/>
    </row>
    <row r="1717" spans="1:10" x14ac:dyDescent="0.2">
      <c r="A1717" s="626"/>
      <c r="B1717" s="637"/>
      <c r="C1717" s="637"/>
      <c r="D1717" s="637"/>
      <c r="E1717" s="637"/>
      <c r="F1717" s="637"/>
      <c r="G1717" s="637"/>
      <c r="H1717" s="637"/>
      <c r="I1717" s="637"/>
      <c r="J1717" s="637"/>
    </row>
    <row r="1718" spans="1:10" x14ac:dyDescent="0.2">
      <c r="A1718" s="626"/>
      <c r="B1718" s="637"/>
      <c r="C1718" s="637"/>
      <c r="D1718" s="637"/>
      <c r="E1718" s="637"/>
      <c r="F1718" s="637"/>
      <c r="G1718" s="637"/>
      <c r="H1718" s="637"/>
      <c r="I1718" s="637"/>
      <c r="J1718" s="637"/>
    </row>
    <row r="1719" spans="1:10" x14ac:dyDescent="0.2">
      <c r="A1719" s="626"/>
      <c r="B1719" s="637"/>
      <c r="C1719" s="637"/>
      <c r="D1719" s="637"/>
      <c r="E1719" s="637"/>
      <c r="F1719" s="637"/>
      <c r="G1719" s="637"/>
      <c r="H1719" s="637"/>
      <c r="I1719" s="637"/>
      <c r="J1719" s="637"/>
    </row>
    <row r="1720" spans="1:10" x14ac:dyDescent="0.2">
      <c r="A1720" s="626"/>
      <c r="B1720" s="637"/>
      <c r="C1720" s="637"/>
      <c r="D1720" s="637"/>
      <c r="E1720" s="637"/>
      <c r="F1720" s="637"/>
      <c r="G1720" s="637"/>
      <c r="H1720" s="637"/>
      <c r="I1720" s="637"/>
      <c r="J1720" s="637"/>
    </row>
    <row r="1721" spans="1:10" x14ac:dyDescent="0.2">
      <c r="A1721" s="626"/>
      <c r="B1721" s="637"/>
      <c r="C1721" s="637"/>
      <c r="D1721" s="637"/>
      <c r="E1721" s="637"/>
      <c r="F1721" s="637"/>
      <c r="G1721" s="637"/>
      <c r="H1721" s="637"/>
      <c r="I1721" s="637"/>
      <c r="J1721" s="637"/>
    </row>
    <row r="1722" spans="1:10" x14ac:dyDescent="0.2">
      <c r="A1722" s="626"/>
      <c r="B1722" s="637"/>
      <c r="C1722" s="637"/>
      <c r="D1722" s="637"/>
      <c r="E1722" s="637"/>
      <c r="F1722" s="637"/>
      <c r="G1722" s="637"/>
      <c r="H1722" s="637"/>
      <c r="I1722" s="637"/>
      <c r="J1722" s="637"/>
    </row>
    <row r="1723" spans="1:10" x14ac:dyDescent="0.2">
      <c r="A1723" s="626"/>
      <c r="B1723" s="637"/>
      <c r="C1723" s="637"/>
      <c r="D1723" s="637"/>
      <c r="E1723" s="637"/>
      <c r="F1723" s="637"/>
      <c r="G1723" s="637"/>
      <c r="H1723" s="637"/>
      <c r="I1723" s="637"/>
      <c r="J1723" s="637"/>
    </row>
    <row r="1724" spans="1:10" x14ac:dyDescent="0.2">
      <c r="A1724" s="626"/>
      <c r="B1724" s="637"/>
      <c r="C1724" s="637"/>
      <c r="D1724" s="637"/>
      <c r="E1724" s="637"/>
      <c r="F1724" s="637"/>
      <c r="G1724" s="637"/>
      <c r="H1724" s="637"/>
      <c r="I1724" s="637"/>
      <c r="J1724" s="637"/>
    </row>
    <row r="1725" spans="1:10" x14ac:dyDescent="0.2">
      <c r="A1725" s="626"/>
      <c r="B1725" s="637"/>
      <c r="C1725" s="637"/>
      <c r="D1725" s="637"/>
      <c r="E1725" s="637"/>
      <c r="F1725" s="637"/>
      <c r="G1725" s="637"/>
      <c r="H1725" s="637"/>
      <c r="I1725" s="637"/>
      <c r="J1725" s="637"/>
    </row>
    <row r="1726" spans="1:10" x14ac:dyDescent="0.2">
      <c r="A1726" s="626"/>
      <c r="B1726" s="637"/>
      <c r="C1726" s="637"/>
      <c r="D1726" s="637"/>
      <c r="E1726" s="637"/>
      <c r="F1726" s="637"/>
      <c r="G1726" s="637"/>
      <c r="H1726" s="637"/>
      <c r="I1726" s="637"/>
      <c r="J1726" s="637"/>
    </row>
    <row r="1727" spans="1:10" x14ac:dyDescent="0.2">
      <c r="A1727" s="626"/>
      <c r="B1727" s="637"/>
      <c r="C1727" s="637"/>
      <c r="D1727" s="637"/>
      <c r="E1727" s="637"/>
      <c r="F1727" s="637"/>
      <c r="G1727" s="637"/>
      <c r="H1727" s="637"/>
      <c r="I1727" s="637"/>
      <c r="J1727" s="637"/>
    </row>
    <row r="1728" spans="1:10" x14ac:dyDescent="0.2">
      <c r="A1728" s="626"/>
      <c r="B1728" s="637"/>
      <c r="C1728" s="637"/>
      <c r="D1728" s="637"/>
      <c r="E1728" s="637"/>
      <c r="F1728" s="637"/>
      <c r="G1728" s="637"/>
      <c r="H1728" s="637"/>
      <c r="I1728" s="637"/>
      <c r="J1728" s="637"/>
    </row>
    <row r="1729" spans="1:10" x14ac:dyDescent="0.2">
      <c r="A1729" s="626"/>
      <c r="B1729" s="637"/>
      <c r="C1729" s="637"/>
      <c r="D1729" s="637"/>
      <c r="E1729" s="637"/>
      <c r="F1729" s="637"/>
      <c r="G1729" s="637"/>
      <c r="H1729" s="637"/>
      <c r="I1729" s="637"/>
      <c r="J1729" s="637"/>
    </row>
    <row r="1730" spans="1:10" x14ac:dyDescent="0.2">
      <c r="A1730" s="626"/>
      <c r="B1730" s="637"/>
      <c r="C1730" s="637"/>
      <c r="D1730" s="637"/>
      <c r="E1730" s="637"/>
      <c r="F1730" s="637"/>
      <c r="G1730" s="637"/>
      <c r="H1730" s="637"/>
      <c r="I1730" s="637"/>
      <c r="J1730" s="637"/>
    </row>
    <row r="1731" spans="1:10" x14ac:dyDescent="0.2">
      <c r="A1731" s="626"/>
      <c r="B1731" s="637"/>
      <c r="C1731" s="637"/>
      <c r="D1731" s="637"/>
      <c r="E1731" s="637"/>
      <c r="F1731" s="637"/>
      <c r="G1731" s="637"/>
      <c r="H1731" s="637"/>
      <c r="I1731" s="637"/>
      <c r="J1731" s="637"/>
    </row>
    <row r="1732" spans="1:10" x14ac:dyDescent="0.2">
      <c r="A1732" s="626"/>
      <c r="B1732" s="637"/>
      <c r="C1732" s="637"/>
      <c r="D1732" s="637"/>
      <c r="E1732" s="637"/>
      <c r="F1732" s="637"/>
      <c r="G1732" s="637"/>
      <c r="H1732" s="637"/>
      <c r="I1732" s="637"/>
      <c r="J1732" s="637"/>
    </row>
    <row r="1733" spans="1:10" x14ac:dyDescent="0.2">
      <c r="A1733" s="626"/>
      <c r="B1733" s="637"/>
      <c r="C1733" s="637"/>
      <c r="D1733" s="637"/>
      <c r="E1733" s="637"/>
      <c r="F1733" s="637"/>
      <c r="G1733" s="637"/>
      <c r="H1733" s="637"/>
      <c r="I1733" s="637"/>
      <c r="J1733" s="637"/>
    </row>
    <row r="1734" spans="1:10" x14ac:dyDescent="0.2">
      <c r="A1734" s="626"/>
      <c r="B1734" s="637"/>
      <c r="C1734" s="637"/>
      <c r="D1734" s="637"/>
      <c r="E1734" s="637"/>
      <c r="F1734" s="637"/>
      <c r="G1734" s="637"/>
      <c r="H1734" s="637"/>
      <c r="I1734" s="637"/>
      <c r="J1734" s="637"/>
    </row>
    <row r="1735" spans="1:10" x14ac:dyDescent="0.2">
      <c r="A1735" s="626"/>
      <c r="B1735" s="637"/>
      <c r="C1735" s="637"/>
      <c r="D1735" s="637"/>
      <c r="E1735" s="637"/>
      <c r="F1735" s="637"/>
      <c r="G1735" s="637"/>
      <c r="H1735" s="637"/>
      <c r="I1735" s="637"/>
      <c r="J1735" s="637"/>
    </row>
    <row r="1736" spans="1:10" x14ac:dyDescent="0.2">
      <c r="A1736" s="626"/>
      <c r="B1736" s="637"/>
      <c r="C1736" s="637"/>
      <c r="D1736" s="637"/>
      <c r="E1736" s="637"/>
      <c r="F1736" s="637"/>
      <c r="G1736" s="637"/>
      <c r="H1736" s="637"/>
      <c r="I1736" s="637"/>
      <c r="J1736" s="637"/>
    </row>
    <row r="1737" spans="1:10" x14ac:dyDescent="0.2">
      <c r="A1737" s="626"/>
      <c r="B1737" s="637"/>
      <c r="C1737" s="637"/>
      <c r="D1737" s="637"/>
      <c r="E1737" s="637"/>
      <c r="F1737" s="637"/>
      <c r="G1737" s="637"/>
      <c r="H1737" s="637"/>
      <c r="I1737" s="637"/>
      <c r="J1737" s="637"/>
    </row>
    <row r="1738" spans="1:10" x14ac:dyDescent="0.2">
      <c r="A1738" s="626"/>
      <c r="B1738" s="637"/>
      <c r="C1738" s="637"/>
      <c r="D1738" s="637"/>
      <c r="E1738" s="637"/>
      <c r="F1738" s="637"/>
      <c r="G1738" s="637"/>
      <c r="H1738" s="637"/>
      <c r="I1738" s="637"/>
      <c r="J1738" s="637"/>
    </row>
    <row r="1739" spans="1:10" x14ac:dyDescent="0.2">
      <c r="A1739" s="626"/>
      <c r="B1739" s="637"/>
      <c r="C1739" s="637"/>
      <c r="D1739" s="637"/>
      <c r="E1739" s="637"/>
      <c r="F1739" s="637"/>
      <c r="G1739" s="637"/>
      <c r="H1739" s="637"/>
      <c r="I1739" s="637"/>
      <c r="J1739" s="637"/>
    </row>
    <row r="1740" spans="1:10" x14ac:dyDescent="0.2">
      <c r="A1740" s="626"/>
      <c r="B1740" s="637"/>
      <c r="C1740" s="637"/>
      <c r="D1740" s="637"/>
      <c r="E1740" s="637"/>
      <c r="F1740" s="637"/>
      <c r="G1740" s="637"/>
      <c r="H1740" s="637"/>
      <c r="I1740" s="637"/>
      <c r="J1740" s="637"/>
    </row>
    <row r="1741" spans="1:10" x14ac:dyDescent="0.2">
      <c r="A1741" s="626"/>
      <c r="B1741" s="637"/>
      <c r="C1741" s="637"/>
      <c r="D1741" s="637"/>
      <c r="E1741" s="637"/>
      <c r="F1741" s="637"/>
      <c r="G1741" s="637"/>
      <c r="H1741" s="637"/>
      <c r="I1741" s="637"/>
      <c r="J1741" s="637"/>
    </row>
    <row r="1742" spans="1:10" x14ac:dyDescent="0.2">
      <c r="A1742" s="626"/>
      <c r="B1742" s="637"/>
      <c r="C1742" s="637"/>
      <c r="D1742" s="637"/>
      <c r="E1742" s="637"/>
      <c r="F1742" s="637"/>
      <c r="G1742" s="637"/>
      <c r="H1742" s="637"/>
      <c r="I1742" s="637"/>
      <c r="J1742" s="637"/>
    </row>
    <row r="1743" spans="1:10" x14ac:dyDescent="0.2">
      <c r="A1743" s="626"/>
      <c r="B1743" s="637"/>
      <c r="C1743" s="637"/>
      <c r="D1743" s="637"/>
      <c r="E1743" s="637"/>
      <c r="F1743" s="637"/>
      <c r="G1743" s="637"/>
      <c r="H1743" s="637"/>
      <c r="I1743" s="637"/>
      <c r="J1743" s="637"/>
    </row>
    <row r="1744" spans="1:10" x14ac:dyDescent="0.2">
      <c r="A1744" s="626"/>
      <c r="B1744" s="637"/>
      <c r="C1744" s="637"/>
      <c r="D1744" s="637"/>
      <c r="E1744" s="637"/>
      <c r="F1744" s="637"/>
      <c r="G1744" s="637"/>
      <c r="H1744" s="637"/>
      <c r="I1744" s="637"/>
      <c r="J1744" s="637"/>
    </row>
    <row r="1745" spans="1:10" x14ac:dyDescent="0.2">
      <c r="A1745" s="626"/>
      <c r="B1745" s="637"/>
      <c r="C1745" s="637"/>
      <c r="D1745" s="637"/>
      <c r="E1745" s="637"/>
      <c r="F1745" s="637"/>
      <c r="G1745" s="637"/>
      <c r="H1745" s="637"/>
      <c r="I1745" s="637"/>
      <c r="J1745" s="637"/>
    </row>
    <row r="1746" spans="1:10" x14ac:dyDescent="0.2">
      <c r="A1746" s="626"/>
      <c r="B1746" s="637"/>
      <c r="C1746" s="637"/>
      <c r="D1746" s="637"/>
      <c r="E1746" s="637"/>
      <c r="F1746" s="637"/>
      <c r="G1746" s="637"/>
      <c r="H1746" s="637"/>
      <c r="I1746" s="637"/>
      <c r="J1746" s="637"/>
    </row>
    <row r="1747" spans="1:10" x14ac:dyDescent="0.2">
      <c r="A1747" s="626"/>
      <c r="B1747" s="637"/>
      <c r="C1747" s="637"/>
      <c r="D1747" s="637"/>
      <c r="E1747" s="637"/>
      <c r="F1747" s="637"/>
      <c r="G1747" s="637"/>
      <c r="H1747" s="637"/>
      <c r="I1747" s="637"/>
      <c r="J1747" s="637"/>
    </row>
    <row r="1748" spans="1:10" x14ac:dyDescent="0.2">
      <c r="A1748" s="626"/>
      <c r="B1748" s="637"/>
      <c r="C1748" s="637"/>
      <c r="D1748" s="637"/>
      <c r="E1748" s="637"/>
      <c r="F1748" s="637"/>
      <c r="G1748" s="637"/>
      <c r="H1748" s="637"/>
      <c r="I1748" s="637"/>
      <c r="J1748" s="637"/>
    </row>
    <row r="1749" spans="1:10" x14ac:dyDescent="0.2">
      <c r="A1749" s="626"/>
      <c r="B1749" s="637"/>
      <c r="C1749" s="637"/>
      <c r="D1749" s="637"/>
      <c r="E1749" s="637"/>
      <c r="F1749" s="637"/>
      <c r="G1749" s="637"/>
      <c r="H1749" s="637"/>
      <c r="I1749" s="637"/>
      <c r="J1749" s="637"/>
    </row>
    <row r="1750" spans="1:10" x14ac:dyDescent="0.2">
      <c r="A1750" s="626"/>
      <c r="B1750" s="637"/>
      <c r="C1750" s="637"/>
      <c r="D1750" s="637"/>
      <c r="E1750" s="637"/>
      <c r="F1750" s="637"/>
      <c r="G1750" s="637"/>
      <c r="H1750" s="637"/>
      <c r="I1750" s="637"/>
      <c r="J1750" s="637"/>
    </row>
    <row r="1751" spans="1:10" x14ac:dyDescent="0.2">
      <c r="A1751" s="626"/>
      <c r="B1751" s="637"/>
      <c r="C1751" s="637"/>
      <c r="D1751" s="637"/>
      <c r="E1751" s="637"/>
      <c r="F1751" s="637"/>
      <c r="G1751" s="637"/>
      <c r="H1751" s="637"/>
      <c r="I1751" s="637"/>
      <c r="J1751" s="637"/>
    </row>
    <row r="1752" spans="1:10" x14ac:dyDescent="0.2">
      <c r="A1752" s="626"/>
      <c r="B1752" s="637"/>
      <c r="C1752" s="637"/>
      <c r="D1752" s="637"/>
      <c r="E1752" s="637"/>
      <c r="F1752" s="637"/>
      <c r="G1752" s="637"/>
      <c r="H1752" s="637"/>
      <c r="I1752" s="637"/>
      <c r="J1752" s="637"/>
    </row>
    <row r="1753" spans="1:10" x14ac:dyDescent="0.2">
      <c r="A1753" s="626"/>
      <c r="B1753" s="637"/>
      <c r="C1753" s="637"/>
      <c r="D1753" s="637"/>
      <c r="E1753" s="637"/>
      <c r="F1753" s="637"/>
      <c r="G1753" s="637"/>
      <c r="H1753" s="637"/>
      <c r="I1753" s="637"/>
      <c r="J1753" s="637"/>
    </row>
    <row r="1754" spans="1:10" x14ac:dyDescent="0.2">
      <c r="A1754" s="626"/>
      <c r="B1754" s="637"/>
      <c r="C1754" s="637"/>
      <c r="D1754" s="637"/>
      <c r="E1754" s="637"/>
      <c r="F1754" s="637"/>
      <c r="G1754" s="637"/>
      <c r="H1754" s="637"/>
      <c r="I1754" s="637"/>
      <c r="J1754" s="637"/>
    </row>
    <row r="1755" spans="1:10" x14ac:dyDescent="0.2">
      <c r="A1755" s="626"/>
      <c r="B1755" s="637"/>
      <c r="C1755" s="637"/>
      <c r="D1755" s="637"/>
      <c r="E1755" s="637"/>
      <c r="F1755" s="637"/>
      <c r="G1755" s="637"/>
      <c r="H1755" s="637"/>
      <c r="I1755" s="637"/>
      <c r="J1755" s="637"/>
    </row>
    <row r="1756" spans="1:10" x14ac:dyDescent="0.2">
      <c r="A1756" s="626"/>
      <c r="B1756" s="637"/>
      <c r="C1756" s="637"/>
      <c r="D1756" s="637"/>
      <c r="E1756" s="637"/>
      <c r="F1756" s="637"/>
      <c r="G1756" s="637"/>
      <c r="H1756" s="637"/>
      <c r="I1756" s="637"/>
      <c r="J1756" s="637"/>
    </row>
    <row r="1757" spans="1:10" x14ac:dyDescent="0.2">
      <c r="A1757" s="626"/>
      <c r="B1757" s="637"/>
      <c r="C1757" s="637"/>
      <c r="D1757" s="637"/>
      <c r="E1757" s="637"/>
      <c r="F1757" s="637"/>
      <c r="G1757" s="637"/>
      <c r="H1757" s="637"/>
      <c r="I1757" s="637"/>
      <c r="J1757" s="637"/>
    </row>
    <row r="1758" spans="1:10" x14ac:dyDescent="0.2">
      <c r="A1758" s="626"/>
      <c r="B1758" s="637"/>
      <c r="C1758" s="637"/>
      <c r="D1758" s="637"/>
      <c r="E1758" s="637"/>
      <c r="F1758" s="637"/>
      <c r="G1758" s="637"/>
      <c r="H1758" s="637"/>
      <c r="I1758" s="637"/>
      <c r="J1758" s="637"/>
    </row>
    <row r="1759" spans="1:10" x14ac:dyDescent="0.2">
      <c r="A1759" s="626"/>
      <c r="B1759" s="637"/>
      <c r="C1759" s="637"/>
      <c r="D1759" s="637"/>
      <c r="E1759" s="637"/>
      <c r="F1759" s="637"/>
      <c r="G1759" s="637"/>
      <c r="H1759" s="637"/>
      <c r="I1759" s="637"/>
      <c r="J1759" s="637"/>
    </row>
    <row r="1760" spans="1:10" x14ac:dyDescent="0.2">
      <c r="A1760" s="626"/>
      <c r="B1760" s="637"/>
      <c r="C1760" s="637"/>
      <c r="D1760" s="637"/>
      <c r="E1760" s="637"/>
      <c r="F1760" s="637"/>
      <c r="G1760" s="637"/>
      <c r="H1760" s="637"/>
      <c r="I1760" s="637"/>
      <c r="J1760" s="637"/>
    </row>
    <row r="1761" spans="1:10" x14ac:dyDescent="0.2">
      <c r="A1761" s="626"/>
      <c r="B1761" s="637"/>
      <c r="C1761" s="637"/>
      <c r="D1761" s="637"/>
      <c r="E1761" s="637"/>
      <c r="F1761" s="637"/>
      <c r="G1761" s="637"/>
      <c r="H1761" s="637"/>
      <c r="I1761" s="637"/>
      <c r="J1761" s="637"/>
    </row>
    <row r="1762" spans="1:10" x14ac:dyDescent="0.2">
      <c r="A1762" s="626"/>
      <c r="B1762" s="637"/>
      <c r="C1762" s="637"/>
      <c r="D1762" s="637"/>
      <c r="E1762" s="637"/>
      <c r="F1762" s="637"/>
      <c r="G1762" s="637"/>
      <c r="H1762" s="637"/>
      <c r="I1762" s="637"/>
      <c r="J1762" s="637"/>
    </row>
    <row r="1763" spans="1:10" x14ac:dyDescent="0.2">
      <c r="A1763" s="626"/>
      <c r="B1763" s="637"/>
      <c r="C1763" s="637"/>
      <c r="D1763" s="637"/>
      <c r="E1763" s="637"/>
      <c r="F1763" s="637"/>
      <c r="G1763" s="637"/>
      <c r="H1763" s="637"/>
      <c r="I1763" s="637"/>
      <c r="J1763" s="637"/>
    </row>
    <row r="1764" spans="1:10" x14ac:dyDescent="0.2">
      <c r="A1764" s="626"/>
      <c r="B1764" s="637"/>
      <c r="C1764" s="637"/>
      <c r="D1764" s="637"/>
      <c r="E1764" s="637"/>
      <c r="F1764" s="637"/>
      <c r="G1764" s="637"/>
      <c r="H1764" s="637"/>
      <c r="I1764" s="637"/>
      <c r="J1764" s="637"/>
    </row>
    <row r="1765" spans="1:10" x14ac:dyDescent="0.2">
      <c r="A1765" s="626"/>
      <c r="B1765" s="637"/>
      <c r="C1765" s="637"/>
      <c r="D1765" s="637"/>
      <c r="E1765" s="637"/>
      <c r="F1765" s="637"/>
      <c r="G1765" s="637"/>
      <c r="H1765" s="637"/>
      <c r="I1765" s="637"/>
      <c r="J1765" s="637"/>
    </row>
    <row r="1766" spans="1:10" x14ac:dyDescent="0.2">
      <c r="A1766" s="626"/>
      <c r="B1766" s="637"/>
      <c r="C1766" s="637"/>
      <c r="D1766" s="637"/>
      <c r="E1766" s="637"/>
      <c r="F1766" s="637"/>
      <c r="G1766" s="637"/>
      <c r="H1766" s="637"/>
      <c r="I1766" s="637"/>
      <c r="J1766" s="637"/>
    </row>
    <row r="1767" spans="1:10" x14ac:dyDescent="0.2">
      <c r="A1767" s="626"/>
      <c r="B1767" s="637"/>
      <c r="C1767" s="637"/>
      <c r="D1767" s="637"/>
      <c r="E1767" s="637"/>
      <c r="F1767" s="637"/>
      <c r="G1767" s="637"/>
      <c r="H1767" s="637"/>
      <c r="I1767" s="637"/>
      <c r="J1767" s="637"/>
    </row>
    <row r="1768" spans="1:10" x14ac:dyDescent="0.2">
      <c r="A1768" s="626"/>
      <c r="B1768" s="637"/>
      <c r="C1768" s="637"/>
      <c r="D1768" s="637"/>
      <c r="E1768" s="637"/>
      <c r="F1768" s="637"/>
      <c r="G1768" s="637"/>
      <c r="H1768" s="637"/>
      <c r="I1768" s="637"/>
      <c r="J1768" s="637"/>
    </row>
    <row r="1769" spans="1:10" x14ac:dyDescent="0.2">
      <c r="A1769" s="626"/>
      <c r="B1769" s="637"/>
      <c r="C1769" s="637"/>
      <c r="D1769" s="637"/>
      <c r="E1769" s="637"/>
      <c r="F1769" s="637"/>
      <c r="G1769" s="637"/>
      <c r="H1769" s="637"/>
      <c r="I1769" s="637"/>
      <c r="J1769" s="637"/>
    </row>
    <row r="1770" spans="1:10" x14ac:dyDescent="0.2">
      <c r="A1770" s="626"/>
      <c r="B1770" s="637"/>
      <c r="C1770" s="637"/>
      <c r="D1770" s="637"/>
      <c r="E1770" s="637"/>
      <c r="F1770" s="637"/>
      <c r="G1770" s="637"/>
      <c r="H1770" s="637"/>
      <c r="I1770" s="637"/>
      <c r="J1770" s="637"/>
    </row>
    <row r="1771" spans="1:10" x14ac:dyDescent="0.2">
      <c r="A1771" s="626"/>
      <c r="B1771" s="637"/>
      <c r="C1771" s="637"/>
      <c r="D1771" s="637"/>
      <c r="E1771" s="637"/>
      <c r="F1771" s="637"/>
      <c r="G1771" s="637"/>
      <c r="H1771" s="637"/>
      <c r="I1771" s="637"/>
      <c r="J1771" s="637"/>
    </row>
    <row r="1772" spans="1:10" x14ac:dyDescent="0.2">
      <c r="A1772" s="626"/>
      <c r="B1772" s="637"/>
      <c r="C1772" s="637"/>
      <c r="D1772" s="637"/>
      <c r="E1772" s="637"/>
      <c r="F1772" s="637"/>
      <c r="G1772" s="637"/>
      <c r="H1772" s="637"/>
      <c r="I1772" s="637"/>
      <c r="J1772" s="637"/>
    </row>
    <row r="1773" spans="1:10" x14ac:dyDescent="0.2">
      <c r="A1773" s="626"/>
      <c r="B1773" s="637"/>
      <c r="C1773" s="637"/>
      <c r="D1773" s="637"/>
      <c r="E1773" s="637"/>
      <c r="F1773" s="637"/>
      <c r="G1773" s="637"/>
      <c r="H1773" s="637"/>
      <c r="I1773" s="637"/>
      <c r="J1773" s="637"/>
    </row>
    <row r="1774" spans="1:10" x14ac:dyDescent="0.2">
      <c r="A1774" s="626"/>
      <c r="B1774" s="637"/>
      <c r="C1774" s="637"/>
      <c r="D1774" s="637"/>
      <c r="E1774" s="637"/>
      <c r="F1774" s="637"/>
      <c r="G1774" s="637"/>
      <c r="H1774" s="637"/>
      <c r="I1774" s="637"/>
      <c r="J1774" s="637"/>
    </row>
    <row r="1775" spans="1:10" x14ac:dyDescent="0.2">
      <c r="A1775" s="626"/>
      <c r="B1775" s="637"/>
      <c r="C1775" s="637"/>
      <c r="D1775" s="637"/>
      <c r="E1775" s="637"/>
      <c r="F1775" s="637"/>
      <c r="G1775" s="637"/>
      <c r="H1775" s="637"/>
      <c r="I1775" s="637"/>
      <c r="J1775" s="637"/>
    </row>
    <row r="1776" spans="1:10" x14ac:dyDescent="0.2">
      <c r="A1776" s="626"/>
      <c r="B1776" s="637"/>
      <c r="C1776" s="637"/>
      <c r="D1776" s="637"/>
      <c r="E1776" s="637"/>
      <c r="F1776" s="637"/>
      <c r="G1776" s="637"/>
      <c r="H1776" s="637"/>
      <c r="I1776" s="637"/>
      <c r="J1776" s="637"/>
    </row>
    <row r="1777" spans="1:10" x14ac:dyDescent="0.2">
      <c r="A1777" s="626"/>
      <c r="B1777" s="637"/>
      <c r="C1777" s="637"/>
      <c r="D1777" s="637"/>
      <c r="E1777" s="637"/>
      <c r="F1777" s="637"/>
      <c r="G1777" s="637"/>
      <c r="H1777" s="637"/>
      <c r="I1777" s="637"/>
      <c r="J1777" s="637"/>
    </row>
    <row r="1778" spans="1:10" x14ac:dyDescent="0.2">
      <c r="A1778" s="626"/>
      <c r="B1778" s="637"/>
      <c r="C1778" s="637"/>
      <c r="D1778" s="637"/>
      <c r="E1778" s="637"/>
      <c r="F1778" s="637"/>
      <c r="G1778" s="637"/>
      <c r="H1778" s="637"/>
      <c r="I1778" s="637"/>
      <c r="J1778" s="637"/>
    </row>
    <row r="1779" spans="1:10" x14ac:dyDescent="0.2">
      <c r="A1779" s="626"/>
      <c r="B1779" s="637"/>
      <c r="C1779" s="637"/>
      <c r="D1779" s="637"/>
      <c r="E1779" s="637"/>
      <c r="F1779" s="637"/>
      <c r="G1779" s="637"/>
      <c r="H1779" s="637"/>
      <c r="I1779" s="637"/>
      <c r="J1779" s="637"/>
    </row>
    <row r="1780" spans="1:10" x14ac:dyDescent="0.2">
      <c r="A1780" s="626"/>
      <c r="B1780" s="637"/>
      <c r="C1780" s="637"/>
      <c r="D1780" s="637"/>
      <c r="E1780" s="637"/>
      <c r="F1780" s="637"/>
      <c r="G1780" s="637"/>
      <c r="H1780" s="637"/>
      <c r="I1780" s="637"/>
      <c r="J1780" s="637"/>
    </row>
    <row r="1781" spans="1:10" x14ac:dyDescent="0.2">
      <c r="A1781" s="626"/>
      <c r="B1781" s="637"/>
      <c r="C1781" s="637"/>
      <c r="D1781" s="637"/>
      <c r="E1781" s="637"/>
      <c r="F1781" s="637"/>
      <c r="G1781" s="637"/>
      <c r="H1781" s="637"/>
      <c r="I1781" s="637"/>
      <c r="J1781" s="637"/>
    </row>
    <row r="1782" spans="1:10" x14ac:dyDescent="0.2">
      <c r="A1782" s="626"/>
      <c r="B1782" s="637"/>
      <c r="C1782" s="637"/>
      <c r="D1782" s="637"/>
      <c r="E1782" s="637"/>
      <c r="F1782" s="637"/>
      <c r="G1782" s="637"/>
      <c r="H1782" s="637"/>
      <c r="I1782" s="637"/>
      <c r="J1782" s="637"/>
    </row>
    <row r="1783" spans="1:10" x14ac:dyDescent="0.2">
      <c r="A1783" s="626"/>
      <c r="B1783" s="637"/>
      <c r="C1783" s="637"/>
      <c r="D1783" s="637"/>
      <c r="E1783" s="637"/>
      <c r="F1783" s="637"/>
      <c r="G1783" s="637"/>
      <c r="H1783" s="637"/>
      <c r="I1783" s="637"/>
      <c r="J1783" s="637"/>
    </row>
    <row r="1784" spans="1:10" x14ac:dyDescent="0.2">
      <c r="A1784" s="626"/>
      <c r="B1784" s="637"/>
      <c r="C1784" s="637"/>
      <c r="D1784" s="637"/>
      <c r="E1784" s="637"/>
      <c r="F1784" s="637"/>
      <c r="G1784" s="637"/>
      <c r="H1784" s="637"/>
      <c r="I1784" s="637"/>
      <c r="J1784" s="637"/>
    </row>
    <row r="1785" spans="1:10" x14ac:dyDescent="0.2">
      <c r="A1785" s="626"/>
      <c r="B1785" s="637"/>
      <c r="C1785" s="637"/>
      <c r="D1785" s="637"/>
      <c r="E1785" s="637"/>
      <c r="F1785" s="637"/>
      <c r="G1785" s="637"/>
      <c r="H1785" s="637"/>
      <c r="I1785" s="637"/>
      <c r="J1785" s="637"/>
    </row>
    <row r="1786" spans="1:10" x14ac:dyDescent="0.2">
      <c r="A1786" s="626"/>
      <c r="B1786" s="637"/>
      <c r="C1786" s="637"/>
      <c r="D1786" s="637"/>
      <c r="E1786" s="637"/>
      <c r="F1786" s="637"/>
      <c r="G1786" s="637"/>
      <c r="H1786" s="637"/>
      <c r="I1786" s="637"/>
      <c r="J1786" s="637"/>
    </row>
    <row r="1787" spans="1:10" x14ac:dyDescent="0.2">
      <c r="A1787" s="626"/>
      <c r="B1787" s="637"/>
      <c r="C1787" s="637"/>
      <c r="D1787" s="637"/>
      <c r="E1787" s="637"/>
      <c r="F1787" s="637"/>
      <c r="G1787" s="637"/>
      <c r="H1787" s="637"/>
      <c r="I1787" s="637"/>
      <c r="J1787" s="637"/>
    </row>
    <row r="1788" spans="1:10" x14ac:dyDescent="0.2">
      <c r="A1788" s="626"/>
      <c r="B1788" s="637"/>
      <c r="C1788" s="637"/>
      <c r="D1788" s="637"/>
      <c r="E1788" s="637"/>
      <c r="F1788" s="637"/>
      <c r="G1788" s="637"/>
      <c r="H1788" s="637"/>
      <c r="I1788" s="637"/>
      <c r="J1788" s="637"/>
    </row>
    <row r="1789" spans="1:10" x14ac:dyDescent="0.2">
      <c r="A1789" s="626"/>
      <c r="B1789" s="637"/>
      <c r="C1789" s="637"/>
      <c r="D1789" s="637"/>
      <c r="E1789" s="637"/>
      <c r="F1789" s="637"/>
      <c r="G1789" s="637"/>
      <c r="H1789" s="637"/>
      <c r="I1789" s="637"/>
      <c r="J1789" s="637"/>
    </row>
    <row r="1790" spans="1:10" x14ac:dyDescent="0.2">
      <c r="A1790" s="626"/>
      <c r="B1790" s="637"/>
      <c r="C1790" s="637"/>
      <c r="D1790" s="637"/>
      <c r="E1790" s="637"/>
      <c r="F1790" s="637"/>
      <c r="G1790" s="637"/>
      <c r="H1790" s="637"/>
      <c r="I1790" s="637"/>
      <c r="J1790" s="637"/>
    </row>
    <row r="1791" spans="1:10" x14ac:dyDescent="0.2">
      <c r="A1791" s="626"/>
      <c r="B1791" s="637"/>
      <c r="C1791" s="637"/>
      <c r="D1791" s="637"/>
      <c r="E1791" s="637"/>
      <c r="F1791" s="637"/>
      <c r="G1791" s="637"/>
      <c r="H1791" s="637"/>
      <c r="I1791" s="637"/>
      <c r="J1791" s="637"/>
    </row>
    <row r="1792" spans="1:10" x14ac:dyDescent="0.2">
      <c r="A1792" s="626"/>
      <c r="B1792" s="637"/>
      <c r="C1792" s="637"/>
      <c r="D1792" s="637"/>
      <c r="E1792" s="637"/>
      <c r="F1792" s="637"/>
      <c r="G1792" s="637"/>
      <c r="H1792" s="637"/>
      <c r="I1792" s="637"/>
      <c r="J1792" s="637"/>
    </row>
    <row r="1793" spans="1:10" x14ac:dyDescent="0.2">
      <c r="A1793" s="626"/>
      <c r="B1793" s="637"/>
      <c r="C1793" s="637"/>
      <c r="D1793" s="637"/>
      <c r="E1793" s="637"/>
      <c r="F1793" s="637"/>
      <c r="G1793" s="637"/>
      <c r="H1793" s="637"/>
      <c r="I1793" s="637"/>
      <c r="J1793" s="637"/>
    </row>
    <row r="1794" spans="1:10" x14ac:dyDescent="0.2">
      <c r="A1794" s="626"/>
      <c r="B1794" s="637"/>
      <c r="C1794" s="637"/>
      <c r="D1794" s="637"/>
      <c r="E1794" s="637"/>
      <c r="F1794" s="637"/>
      <c r="G1794" s="637"/>
      <c r="H1794" s="637"/>
      <c r="I1794" s="637"/>
      <c r="J1794" s="637"/>
    </row>
    <row r="1795" spans="1:10" x14ac:dyDescent="0.2">
      <c r="A1795" s="626"/>
      <c r="B1795" s="637"/>
      <c r="C1795" s="637"/>
      <c r="D1795" s="637"/>
      <c r="E1795" s="637"/>
      <c r="F1795" s="637"/>
      <c r="G1795" s="637"/>
      <c r="H1795" s="637"/>
      <c r="I1795" s="637"/>
      <c r="J1795" s="637"/>
    </row>
    <row r="1796" spans="1:10" x14ac:dyDescent="0.2">
      <c r="A1796" s="626"/>
      <c r="B1796" s="637"/>
      <c r="C1796" s="637"/>
      <c r="D1796" s="637"/>
      <c r="E1796" s="637"/>
      <c r="F1796" s="637"/>
      <c r="G1796" s="637"/>
      <c r="H1796" s="637"/>
      <c r="I1796" s="637"/>
      <c r="J1796" s="637"/>
    </row>
    <row r="1797" spans="1:10" x14ac:dyDescent="0.2">
      <c r="A1797" s="626"/>
      <c r="B1797" s="637"/>
      <c r="C1797" s="637"/>
      <c r="D1797" s="637"/>
      <c r="E1797" s="637"/>
      <c r="F1797" s="637"/>
      <c r="G1797" s="637"/>
      <c r="H1797" s="637"/>
      <c r="I1797" s="637"/>
      <c r="J1797" s="637"/>
    </row>
    <row r="1798" spans="1:10" x14ac:dyDescent="0.2">
      <c r="A1798" s="626"/>
      <c r="B1798" s="637"/>
      <c r="C1798" s="637"/>
      <c r="D1798" s="637"/>
      <c r="E1798" s="637"/>
      <c r="F1798" s="637"/>
      <c r="G1798" s="637"/>
      <c r="H1798" s="637"/>
      <c r="I1798" s="637"/>
      <c r="J1798" s="637"/>
    </row>
    <row r="1799" spans="1:10" x14ac:dyDescent="0.2">
      <c r="A1799" s="626"/>
      <c r="B1799" s="637"/>
      <c r="C1799" s="637"/>
      <c r="D1799" s="637"/>
      <c r="E1799" s="637"/>
      <c r="F1799" s="637"/>
      <c r="G1799" s="637"/>
      <c r="H1799" s="637"/>
      <c r="I1799" s="637"/>
      <c r="J1799" s="637"/>
    </row>
    <row r="1800" spans="1:10" x14ac:dyDescent="0.2">
      <c r="A1800" s="626"/>
      <c r="B1800" s="637"/>
      <c r="C1800" s="637"/>
      <c r="D1800" s="637"/>
      <c r="E1800" s="637"/>
      <c r="F1800" s="637"/>
      <c r="G1800" s="637"/>
      <c r="H1800" s="637"/>
      <c r="I1800" s="637"/>
      <c r="J1800" s="637"/>
    </row>
    <row r="1801" spans="1:10" x14ac:dyDescent="0.2">
      <c r="A1801" s="626"/>
      <c r="B1801" s="637"/>
      <c r="C1801" s="637"/>
      <c r="D1801" s="637"/>
      <c r="E1801" s="637"/>
      <c r="F1801" s="637"/>
      <c r="G1801" s="637"/>
      <c r="H1801" s="637"/>
      <c r="I1801" s="637"/>
      <c r="J1801" s="637"/>
    </row>
    <row r="1802" spans="1:10" x14ac:dyDescent="0.2">
      <c r="A1802" s="626"/>
      <c r="B1802" s="637"/>
      <c r="C1802" s="637"/>
      <c r="D1802" s="637"/>
      <c r="E1802" s="637"/>
      <c r="F1802" s="637"/>
      <c r="G1802" s="637"/>
      <c r="H1802" s="637"/>
      <c r="I1802" s="637"/>
      <c r="J1802" s="637"/>
    </row>
    <row r="1803" spans="1:10" x14ac:dyDescent="0.2">
      <c r="A1803" s="626"/>
      <c r="B1803" s="637"/>
      <c r="C1803" s="637"/>
      <c r="D1803" s="637"/>
      <c r="E1803" s="637"/>
      <c r="F1803" s="637"/>
      <c r="G1803" s="637"/>
      <c r="H1803" s="637"/>
      <c r="I1803" s="637"/>
      <c r="J1803" s="637"/>
    </row>
    <row r="1804" spans="1:10" x14ac:dyDescent="0.2">
      <c r="A1804" s="626"/>
      <c r="B1804" s="637"/>
      <c r="C1804" s="637"/>
      <c r="D1804" s="637"/>
      <c r="E1804" s="637"/>
      <c r="F1804" s="637"/>
      <c r="G1804" s="637"/>
      <c r="H1804" s="637"/>
      <c r="I1804" s="637"/>
      <c r="J1804" s="637"/>
    </row>
    <row r="1805" spans="1:10" x14ac:dyDescent="0.2">
      <c r="A1805" s="626"/>
      <c r="B1805" s="637"/>
      <c r="C1805" s="637"/>
      <c r="D1805" s="637"/>
      <c r="E1805" s="637"/>
      <c r="F1805" s="637"/>
      <c r="G1805" s="637"/>
      <c r="H1805" s="637"/>
      <c r="I1805" s="637"/>
      <c r="J1805" s="637"/>
    </row>
    <row r="1806" spans="1:10" x14ac:dyDescent="0.2">
      <c r="A1806" s="626"/>
      <c r="B1806" s="637"/>
      <c r="C1806" s="637"/>
      <c r="D1806" s="637"/>
      <c r="E1806" s="637"/>
      <c r="F1806" s="637"/>
      <c r="G1806" s="637"/>
      <c r="H1806" s="637"/>
      <c r="I1806" s="637"/>
      <c r="J1806" s="637"/>
    </row>
    <row r="1807" spans="1:10" x14ac:dyDescent="0.2">
      <c r="A1807" s="626"/>
      <c r="B1807" s="637"/>
      <c r="C1807" s="637"/>
      <c r="D1807" s="637"/>
      <c r="E1807" s="637"/>
      <c r="F1807" s="637"/>
      <c r="G1807" s="637"/>
      <c r="H1807" s="637"/>
      <c r="I1807" s="637"/>
      <c r="J1807" s="637"/>
    </row>
    <row r="1808" spans="1:10" x14ac:dyDescent="0.2">
      <c r="A1808" s="626"/>
      <c r="B1808" s="637"/>
      <c r="C1808" s="637"/>
      <c r="D1808" s="637"/>
      <c r="E1808" s="637"/>
      <c r="F1808" s="637"/>
      <c r="G1808" s="637"/>
      <c r="H1808" s="637"/>
      <c r="I1808" s="637"/>
      <c r="J1808" s="637"/>
    </row>
    <row r="1809" spans="1:10" x14ac:dyDescent="0.2">
      <c r="A1809" s="626"/>
      <c r="B1809" s="637"/>
      <c r="C1809" s="637"/>
      <c r="D1809" s="637"/>
      <c r="E1809" s="637"/>
      <c r="F1809" s="637"/>
      <c r="G1809" s="637"/>
      <c r="H1809" s="637"/>
      <c r="I1809" s="637"/>
      <c r="J1809" s="637"/>
    </row>
    <row r="1810" spans="1:10" x14ac:dyDescent="0.2">
      <c r="A1810" s="626"/>
      <c r="B1810" s="637"/>
      <c r="C1810" s="637"/>
      <c r="D1810" s="637"/>
      <c r="E1810" s="637"/>
      <c r="F1810" s="637"/>
      <c r="G1810" s="637"/>
      <c r="H1810" s="637"/>
      <c r="I1810" s="637"/>
      <c r="J1810" s="637"/>
    </row>
    <row r="1811" spans="1:10" x14ac:dyDescent="0.2">
      <c r="A1811" s="626"/>
      <c r="B1811" s="637"/>
      <c r="C1811" s="637"/>
      <c r="D1811" s="637"/>
      <c r="E1811" s="637"/>
      <c r="F1811" s="637"/>
      <c r="G1811" s="637"/>
      <c r="H1811" s="637"/>
      <c r="I1811" s="637"/>
      <c r="J1811" s="637"/>
    </row>
    <row r="1812" spans="1:10" x14ac:dyDescent="0.2">
      <c r="A1812" s="626"/>
      <c r="B1812" s="637"/>
      <c r="C1812" s="637"/>
      <c r="D1812" s="637"/>
      <c r="E1812" s="637"/>
      <c r="F1812" s="637"/>
      <c r="G1812" s="637"/>
      <c r="H1812" s="637"/>
      <c r="I1812" s="637"/>
      <c r="J1812" s="637"/>
    </row>
    <row r="1813" spans="1:10" x14ac:dyDescent="0.2">
      <c r="A1813" s="626"/>
      <c r="B1813" s="637"/>
      <c r="C1813" s="637"/>
      <c r="D1813" s="637"/>
      <c r="E1813" s="637"/>
      <c r="F1813" s="637"/>
      <c r="G1813" s="637"/>
      <c r="H1813" s="637"/>
      <c r="I1813" s="637"/>
      <c r="J1813" s="637"/>
    </row>
    <row r="1814" spans="1:10" x14ac:dyDescent="0.2">
      <c r="A1814" s="626"/>
      <c r="B1814" s="637"/>
      <c r="C1814" s="637"/>
      <c r="D1814" s="637"/>
      <c r="E1814" s="637"/>
      <c r="F1814" s="637"/>
      <c r="G1814" s="637"/>
      <c r="H1814" s="637"/>
      <c r="I1814" s="637"/>
      <c r="J1814" s="637"/>
    </row>
    <row r="1815" spans="1:10" x14ac:dyDescent="0.2">
      <c r="A1815" s="626"/>
      <c r="B1815" s="637"/>
      <c r="C1815" s="637"/>
      <c r="D1815" s="637"/>
      <c r="E1815" s="637"/>
      <c r="F1815" s="637"/>
      <c r="G1815" s="637"/>
      <c r="H1815" s="637"/>
      <c r="I1815" s="637"/>
      <c r="J1815" s="637"/>
    </row>
    <row r="1816" spans="1:10" x14ac:dyDescent="0.2">
      <c r="A1816" s="626"/>
      <c r="B1816" s="637"/>
      <c r="C1816" s="637"/>
      <c r="D1816" s="637"/>
      <c r="E1816" s="637"/>
      <c r="F1816" s="637"/>
      <c r="G1816" s="637"/>
      <c r="H1816" s="637"/>
      <c r="I1816" s="637"/>
      <c r="J1816" s="637"/>
    </row>
    <row r="1817" spans="1:10" x14ac:dyDescent="0.2">
      <c r="A1817" s="626"/>
      <c r="B1817" s="637"/>
      <c r="C1817" s="637"/>
      <c r="D1817" s="637"/>
      <c r="E1817" s="637"/>
      <c r="F1817" s="637"/>
      <c r="G1817" s="637"/>
      <c r="H1817" s="637"/>
      <c r="I1817" s="637"/>
      <c r="J1817" s="637"/>
    </row>
    <row r="1818" spans="1:10" x14ac:dyDescent="0.2">
      <c r="A1818" s="626"/>
      <c r="B1818" s="637"/>
      <c r="C1818" s="637"/>
      <c r="D1818" s="637"/>
      <c r="E1818" s="637"/>
      <c r="F1818" s="637"/>
      <c r="G1818" s="637"/>
      <c r="H1818" s="637"/>
      <c r="I1818" s="637"/>
      <c r="J1818" s="637"/>
    </row>
    <row r="1819" spans="1:10" x14ac:dyDescent="0.2">
      <c r="A1819" s="626"/>
      <c r="B1819" s="637"/>
      <c r="C1819" s="637"/>
      <c r="D1819" s="637"/>
      <c r="E1819" s="637"/>
      <c r="F1819" s="637"/>
      <c r="G1819" s="637"/>
      <c r="H1819" s="637"/>
      <c r="I1819" s="637"/>
      <c r="J1819" s="637"/>
    </row>
    <row r="1820" spans="1:10" x14ac:dyDescent="0.2">
      <c r="A1820" s="626"/>
      <c r="B1820" s="637"/>
      <c r="C1820" s="637"/>
      <c r="D1820" s="637"/>
      <c r="E1820" s="637"/>
      <c r="F1820" s="637"/>
      <c r="G1820" s="637"/>
      <c r="H1820" s="637"/>
      <c r="I1820" s="637"/>
      <c r="J1820" s="637"/>
    </row>
    <row r="1821" spans="1:10" x14ac:dyDescent="0.2">
      <c r="A1821" s="626"/>
      <c r="B1821" s="637"/>
      <c r="C1821" s="637"/>
      <c r="D1821" s="637"/>
      <c r="E1821" s="637"/>
      <c r="F1821" s="637"/>
      <c r="G1821" s="637"/>
      <c r="H1821" s="637"/>
      <c r="I1821" s="637"/>
      <c r="J1821" s="637"/>
    </row>
    <row r="1822" spans="1:10" x14ac:dyDescent="0.2">
      <c r="A1822" s="626"/>
      <c r="B1822" s="637"/>
      <c r="C1822" s="637"/>
      <c r="D1822" s="637"/>
      <c r="E1822" s="637"/>
      <c r="F1822" s="637"/>
      <c r="G1822" s="637"/>
      <c r="H1822" s="637"/>
      <c r="I1822" s="637"/>
      <c r="J1822" s="637"/>
    </row>
    <row r="1823" spans="1:10" x14ac:dyDescent="0.2">
      <c r="A1823" s="626"/>
      <c r="B1823" s="637"/>
      <c r="C1823" s="637"/>
      <c r="D1823" s="637"/>
      <c r="E1823" s="637"/>
      <c r="F1823" s="637"/>
      <c r="G1823" s="637"/>
      <c r="H1823" s="637"/>
      <c r="I1823" s="637"/>
      <c r="J1823" s="637"/>
    </row>
    <row r="1824" spans="1:10" x14ac:dyDescent="0.2">
      <c r="A1824" s="626"/>
      <c r="B1824" s="637"/>
      <c r="C1824" s="637"/>
      <c r="D1824" s="637"/>
      <c r="E1824" s="637"/>
      <c r="F1824" s="637"/>
      <c r="G1824" s="637"/>
      <c r="H1824" s="637"/>
      <c r="I1824" s="637"/>
      <c r="J1824" s="637"/>
    </row>
    <row r="1825" spans="1:10" x14ac:dyDescent="0.2">
      <c r="A1825" s="626"/>
      <c r="B1825" s="637"/>
      <c r="C1825" s="637"/>
      <c r="D1825" s="637"/>
      <c r="E1825" s="637"/>
      <c r="F1825" s="637"/>
      <c r="G1825" s="637"/>
      <c r="H1825" s="637"/>
      <c r="I1825" s="637"/>
      <c r="J1825" s="637"/>
    </row>
    <row r="1826" spans="1:10" x14ac:dyDescent="0.2">
      <c r="A1826" s="626"/>
      <c r="B1826" s="637"/>
      <c r="C1826" s="637"/>
      <c r="D1826" s="637"/>
      <c r="E1826" s="637"/>
      <c r="F1826" s="637"/>
      <c r="G1826" s="637"/>
      <c r="H1826" s="637"/>
      <c r="I1826" s="637"/>
      <c r="J1826" s="637"/>
    </row>
    <row r="1827" spans="1:10" x14ac:dyDescent="0.2">
      <c r="A1827" s="626"/>
      <c r="B1827" s="637"/>
      <c r="C1827" s="637"/>
      <c r="D1827" s="637"/>
      <c r="E1827" s="637"/>
      <c r="F1827" s="637"/>
      <c r="G1827" s="637"/>
      <c r="H1827" s="637"/>
      <c r="I1827" s="637"/>
      <c r="J1827" s="637"/>
    </row>
    <row r="1828" spans="1:10" x14ac:dyDescent="0.2">
      <c r="A1828" s="626"/>
      <c r="B1828" s="637"/>
      <c r="C1828" s="637"/>
      <c r="D1828" s="637"/>
      <c r="E1828" s="637"/>
      <c r="F1828" s="637"/>
      <c r="G1828" s="637"/>
      <c r="H1828" s="637"/>
      <c r="I1828" s="637"/>
      <c r="J1828" s="637"/>
    </row>
    <row r="1829" spans="1:10" x14ac:dyDescent="0.2">
      <c r="A1829" s="626"/>
      <c r="B1829" s="637"/>
      <c r="C1829" s="637"/>
      <c r="D1829" s="637"/>
      <c r="E1829" s="637"/>
      <c r="F1829" s="637"/>
      <c r="G1829" s="637"/>
      <c r="H1829" s="637"/>
      <c r="I1829" s="637"/>
      <c r="J1829" s="637"/>
    </row>
    <row r="1830" spans="1:10" x14ac:dyDescent="0.2">
      <c r="A1830" s="626"/>
      <c r="B1830" s="637"/>
      <c r="C1830" s="637"/>
      <c r="D1830" s="637"/>
      <c r="E1830" s="637"/>
      <c r="F1830" s="637"/>
      <c r="G1830" s="637"/>
      <c r="H1830" s="637"/>
      <c r="I1830" s="637"/>
      <c r="J1830" s="637"/>
    </row>
    <row r="1831" spans="1:10" x14ac:dyDescent="0.2">
      <c r="A1831" s="626"/>
      <c r="B1831" s="637"/>
      <c r="C1831" s="637"/>
      <c r="D1831" s="637"/>
      <c r="E1831" s="637"/>
      <c r="F1831" s="637"/>
      <c r="G1831" s="637"/>
      <c r="H1831" s="637"/>
      <c r="I1831" s="637"/>
      <c r="J1831" s="637"/>
    </row>
    <row r="1832" spans="1:10" x14ac:dyDescent="0.2">
      <c r="A1832" s="626"/>
      <c r="B1832" s="637"/>
      <c r="C1832" s="637"/>
      <c r="D1832" s="637"/>
      <c r="E1832" s="637"/>
      <c r="F1832" s="637"/>
      <c r="G1832" s="637"/>
      <c r="H1832" s="637"/>
      <c r="I1832" s="637"/>
      <c r="J1832" s="637"/>
    </row>
    <row r="1833" spans="1:10" x14ac:dyDescent="0.2">
      <c r="A1833" s="626"/>
      <c r="B1833" s="637"/>
      <c r="C1833" s="637"/>
      <c r="D1833" s="637"/>
      <c r="E1833" s="637"/>
      <c r="F1833" s="637"/>
      <c r="G1833" s="637"/>
      <c r="H1833" s="637"/>
      <c r="I1833" s="637"/>
      <c r="J1833" s="637"/>
    </row>
    <row r="1834" spans="1:10" x14ac:dyDescent="0.2">
      <c r="A1834" s="626"/>
      <c r="B1834" s="637"/>
      <c r="C1834" s="637"/>
      <c r="D1834" s="637"/>
      <c r="E1834" s="637"/>
      <c r="F1834" s="637"/>
      <c r="G1834" s="637"/>
      <c r="H1834" s="637"/>
      <c r="I1834" s="637"/>
      <c r="J1834" s="637"/>
    </row>
    <row r="1835" spans="1:10" x14ac:dyDescent="0.2">
      <c r="A1835" s="626"/>
      <c r="B1835" s="637"/>
      <c r="C1835" s="637"/>
      <c r="D1835" s="637"/>
      <c r="E1835" s="637"/>
      <c r="F1835" s="637"/>
      <c r="G1835" s="637"/>
      <c r="H1835" s="637"/>
      <c r="I1835" s="637"/>
      <c r="J1835" s="637"/>
    </row>
    <row r="1836" spans="1:10" x14ac:dyDescent="0.2">
      <c r="A1836" s="626"/>
      <c r="B1836" s="637"/>
      <c r="C1836" s="637"/>
      <c r="D1836" s="637"/>
      <c r="E1836" s="637"/>
      <c r="F1836" s="637"/>
      <c r="G1836" s="637"/>
      <c r="H1836" s="637"/>
      <c r="I1836" s="637"/>
      <c r="J1836" s="637"/>
    </row>
    <row r="1837" spans="1:10" x14ac:dyDescent="0.2">
      <c r="A1837" s="626"/>
      <c r="B1837" s="637"/>
      <c r="C1837" s="637"/>
      <c r="D1837" s="637"/>
      <c r="E1837" s="637"/>
      <c r="F1837" s="637"/>
      <c r="G1837" s="637"/>
      <c r="H1837" s="637"/>
      <c r="I1837" s="637"/>
      <c r="J1837" s="637"/>
    </row>
    <row r="1838" spans="1:10" x14ac:dyDescent="0.2">
      <c r="A1838" s="626"/>
      <c r="B1838" s="637"/>
      <c r="C1838" s="637"/>
      <c r="D1838" s="637"/>
      <c r="E1838" s="637"/>
      <c r="F1838" s="637"/>
      <c r="G1838" s="637"/>
      <c r="H1838" s="637"/>
      <c r="I1838" s="637"/>
      <c r="J1838" s="637"/>
    </row>
    <row r="1839" spans="1:10" x14ac:dyDescent="0.2">
      <c r="A1839" s="626"/>
      <c r="B1839" s="637"/>
      <c r="C1839" s="637"/>
      <c r="D1839" s="637"/>
      <c r="E1839" s="637"/>
      <c r="F1839" s="637"/>
      <c r="G1839" s="637"/>
      <c r="H1839" s="637"/>
      <c r="I1839" s="637"/>
      <c r="J1839" s="637"/>
    </row>
    <row r="1840" spans="1:10" x14ac:dyDescent="0.2">
      <c r="A1840" s="626"/>
      <c r="B1840" s="637"/>
      <c r="C1840" s="637"/>
      <c r="D1840" s="637"/>
      <c r="E1840" s="637"/>
      <c r="F1840" s="637"/>
      <c r="G1840" s="637"/>
      <c r="H1840" s="637"/>
      <c r="I1840" s="637"/>
      <c r="J1840" s="637"/>
    </row>
    <row r="1841" spans="1:10" x14ac:dyDescent="0.2">
      <c r="A1841" s="626"/>
      <c r="B1841" s="637"/>
      <c r="C1841" s="637"/>
      <c r="D1841" s="637"/>
      <c r="E1841" s="637"/>
      <c r="F1841" s="637"/>
      <c r="G1841" s="637"/>
      <c r="H1841" s="637"/>
      <c r="I1841" s="637"/>
      <c r="J1841" s="637"/>
    </row>
    <row r="1842" spans="1:10" x14ac:dyDescent="0.2">
      <c r="A1842" s="626"/>
      <c r="B1842" s="637"/>
      <c r="C1842" s="637"/>
      <c r="D1842" s="637"/>
      <c r="E1842" s="637"/>
      <c r="F1842" s="637"/>
      <c r="G1842" s="637"/>
      <c r="H1842" s="637"/>
      <c r="I1842" s="637"/>
      <c r="J1842" s="637"/>
    </row>
    <row r="1843" spans="1:10" x14ac:dyDescent="0.2">
      <c r="A1843" s="626"/>
      <c r="B1843" s="637"/>
      <c r="C1843" s="637"/>
      <c r="D1843" s="637"/>
      <c r="E1843" s="637"/>
      <c r="F1843" s="637"/>
      <c r="G1843" s="637"/>
      <c r="H1843" s="637"/>
      <c r="I1843" s="637"/>
      <c r="J1843" s="637"/>
    </row>
    <row r="1844" spans="1:10" x14ac:dyDescent="0.2">
      <c r="A1844" s="626"/>
      <c r="B1844" s="637"/>
      <c r="C1844" s="637"/>
      <c r="D1844" s="637"/>
      <c r="E1844" s="637"/>
      <c r="F1844" s="637"/>
      <c r="G1844" s="637"/>
      <c r="H1844" s="637"/>
      <c r="I1844" s="637"/>
      <c r="J1844" s="637"/>
    </row>
    <row r="1845" spans="1:10" x14ac:dyDescent="0.2">
      <c r="A1845" s="626"/>
      <c r="B1845" s="637"/>
      <c r="C1845" s="637"/>
      <c r="D1845" s="637"/>
      <c r="E1845" s="637"/>
      <c r="F1845" s="637"/>
      <c r="G1845" s="637"/>
      <c r="H1845" s="637"/>
      <c r="I1845" s="637"/>
      <c r="J1845" s="637"/>
    </row>
    <row r="1846" spans="1:10" x14ac:dyDescent="0.2">
      <c r="A1846" s="626"/>
      <c r="B1846" s="637"/>
      <c r="C1846" s="637"/>
      <c r="D1846" s="637"/>
      <c r="E1846" s="637"/>
      <c r="F1846" s="637"/>
      <c r="G1846" s="637"/>
      <c r="H1846" s="637"/>
      <c r="I1846" s="637"/>
      <c r="J1846" s="637"/>
    </row>
    <row r="1847" spans="1:10" x14ac:dyDescent="0.2">
      <c r="A1847" s="626"/>
      <c r="B1847" s="637"/>
      <c r="C1847" s="637"/>
      <c r="D1847" s="637"/>
      <c r="E1847" s="637"/>
      <c r="F1847" s="637"/>
      <c r="G1847" s="637"/>
      <c r="H1847" s="637"/>
      <c r="I1847" s="637"/>
      <c r="J1847" s="637"/>
    </row>
    <row r="1848" spans="1:10" x14ac:dyDescent="0.2">
      <c r="A1848" s="626"/>
      <c r="B1848" s="637"/>
      <c r="C1848" s="637"/>
      <c r="D1848" s="637"/>
      <c r="E1848" s="637"/>
      <c r="F1848" s="637"/>
      <c r="G1848" s="637"/>
      <c r="H1848" s="637"/>
      <c r="I1848" s="637"/>
      <c r="J1848" s="637"/>
    </row>
    <row r="1849" spans="1:10" x14ac:dyDescent="0.2">
      <c r="A1849" s="626"/>
      <c r="B1849" s="637"/>
      <c r="C1849" s="637"/>
      <c r="D1849" s="637"/>
      <c r="E1849" s="637"/>
      <c r="F1849" s="637"/>
      <c r="G1849" s="637"/>
      <c r="H1849" s="637"/>
      <c r="I1849" s="637"/>
      <c r="J1849" s="637"/>
    </row>
    <row r="1850" spans="1:10" x14ac:dyDescent="0.2">
      <c r="A1850" s="626"/>
      <c r="B1850" s="637"/>
      <c r="C1850" s="637"/>
      <c r="D1850" s="637"/>
      <c r="E1850" s="637"/>
      <c r="F1850" s="637"/>
      <c r="G1850" s="637"/>
      <c r="H1850" s="637"/>
      <c r="I1850" s="637"/>
      <c r="J1850" s="637"/>
    </row>
    <row r="1851" spans="1:10" x14ac:dyDescent="0.2">
      <c r="A1851" s="626"/>
      <c r="B1851" s="637"/>
      <c r="C1851" s="637"/>
      <c r="D1851" s="637"/>
      <c r="E1851" s="637"/>
      <c r="F1851" s="637"/>
      <c r="G1851" s="637"/>
      <c r="H1851" s="637"/>
      <c r="I1851" s="637"/>
      <c r="J1851" s="637"/>
    </row>
    <row r="1852" spans="1:10" x14ac:dyDescent="0.2">
      <c r="A1852" s="626"/>
      <c r="B1852" s="637"/>
      <c r="C1852" s="637"/>
      <c r="D1852" s="637"/>
      <c r="E1852" s="637"/>
      <c r="F1852" s="637"/>
      <c r="G1852" s="637"/>
      <c r="H1852" s="637"/>
      <c r="I1852" s="637"/>
      <c r="J1852" s="637"/>
    </row>
    <row r="1853" spans="1:10" x14ac:dyDescent="0.2">
      <c r="A1853" s="626"/>
      <c r="B1853" s="637"/>
      <c r="C1853" s="637"/>
      <c r="D1853" s="637"/>
      <c r="E1853" s="637"/>
      <c r="F1853" s="637"/>
      <c r="G1853" s="637"/>
      <c r="H1853" s="637"/>
      <c r="I1853" s="637"/>
      <c r="J1853" s="637"/>
    </row>
    <row r="1854" spans="1:10" x14ac:dyDescent="0.2">
      <c r="A1854" s="626"/>
      <c r="B1854" s="637"/>
      <c r="C1854" s="637"/>
      <c r="D1854" s="637"/>
      <c r="E1854" s="637"/>
      <c r="F1854" s="637"/>
      <c r="G1854" s="637"/>
      <c r="H1854" s="637"/>
      <c r="I1854" s="637"/>
      <c r="J1854" s="637"/>
    </row>
    <row r="1855" spans="1:10" x14ac:dyDescent="0.2">
      <c r="A1855" s="626"/>
      <c r="B1855" s="637"/>
      <c r="C1855" s="637"/>
      <c r="D1855" s="637"/>
      <c r="E1855" s="637"/>
      <c r="F1855" s="637"/>
      <c r="G1855" s="637"/>
      <c r="H1855" s="637"/>
      <c r="I1855" s="637"/>
      <c r="J1855" s="637"/>
    </row>
    <row r="1856" spans="1:10" x14ac:dyDescent="0.2">
      <c r="A1856" s="626"/>
      <c r="B1856" s="637"/>
      <c r="C1856" s="637"/>
      <c r="D1856" s="637"/>
      <c r="E1856" s="637"/>
      <c r="F1856" s="637"/>
      <c r="G1856" s="637"/>
      <c r="H1856" s="637"/>
      <c r="I1856" s="637"/>
      <c r="J1856" s="637"/>
    </row>
    <row r="1857" spans="1:10" x14ac:dyDescent="0.2">
      <c r="A1857" s="626"/>
      <c r="B1857" s="637"/>
      <c r="C1857" s="637"/>
      <c r="D1857" s="637"/>
      <c r="E1857" s="637"/>
      <c r="F1857" s="637"/>
      <c r="G1857" s="637"/>
      <c r="H1857" s="637"/>
      <c r="I1857" s="637"/>
      <c r="J1857" s="637"/>
    </row>
    <row r="1858" spans="1:10" x14ac:dyDescent="0.2">
      <c r="A1858" s="626"/>
      <c r="B1858" s="637"/>
      <c r="C1858" s="637"/>
      <c r="D1858" s="637"/>
      <c r="E1858" s="637"/>
      <c r="F1858" s="637"/>
      <c r="G1858" s="637"/>
      <c r="H1858" s="637"/>
      <c r="I1858" s="637"/>
      <c r="J1858" s="637"/>
    </row>
    <row r="1859" spans="1:10" x14ac:dyDescent="0.2">
      <c r="A1859" s="626"/>
      <c r="B1859" s="637"/>
      <c r="C1859" s="637"/>
      <c r="D1859" s="637"/>
      <c r="E1859" s="637"/>
      <c r="F1859" s="637"/>
      <c r="G1859" s="637"/>
      <c r="H1859" s="637"/>
      <c r="I1859" s="637"/>
      <c r="J1859" s="637"/>
    </row>
    <row r="1860" spans="1:10" x14ac:dyDescent="0.2">
      <c r="A1860" s="626"/>
      <c r="B1860" s="637"/>
      <c r="C1860" s="637"/>
      <c r="D1860" s="637"/>
      <c r="E1860" s="637"/>
      <c r="F1860" s="637"/>
      <c r="G1860" s="637"/>
      <c r="H1860" s="637"/>
      <c r="I1860" s="637"/>
      <c r="J1860" s="637"/>
    </row>
    <row r="1861" spans="1:10" x14ac:dyDescent="0.2">
      <c r="A1861" s="626"/>
      <c r="B1861" s="637"/>
      <c r="C1861" s="637"/>
      <c r="D1861" s="637"/>
      <c r="E1861" s="637"/>
      <c r="F1861" s="637"/>
      <c r="G1861" s="637"/>
      <c r="H1861" s="637"/>
      <c r="I1861" s="637"/>
      <c r="J1861" s="637"/>
    </row>
    <row r="1862" spans="1:10" x14ac:dyDescent="0.2">
      <c r="A1862" s="626"/>
      <c r="B1862" s="637"/>
      <c r="C1862" s="637"/>
      <c r="D1862" s="637"/>
      <c r="E1862" s="637"/>
      <c r="F1862" s="637"/>
      <c r="G1862" s="637"/>
      <c r="H1862" s="637"/>
      <c r="I1862" s="637"/>
      <c r="J1862" s="637"/>
    </row>
    <row r="1863" spans="1:10" x14ac:dyDescent="0.2">
      <c r="A1863" s="626"/>
      <c r="B1863" s="637"/>
      <c r="C1863" s="637"/>
      <c r="D1863" s="637"/>
      <c r="E1863" s="637"/>
      <c r="F1863" s="637"/>
      <c r="G1863" s="637"/>
      <c r="H1863" s="637"/>
      <c r="I1863" s="637"/>
      <c r="J1863" s="637"/>
    </row>
    <row r="1864" spans="1:10" x14ac:dyDescent="0.2">
      <c r="A1864" s="626"/>
      <c r="B1864" s="637"/>
      <c r="C1864" s="637"/>
      <c r="D1864" s="637"/>
      <c r="E1864" s="637"/>
      <c r="F1864" s="637"/>
      <c r="G1864" s="637"/>
      <c r="H1864" s="637"/>
      <c r="I1864" s="637"/>
      <c r="J1864" s="637"/>
    </row>
    <row r="1865" spans="1:10" x14ac:dyDescent="0.2">
      <c r="A1865" s="626"/>
      <c r="B1865" s="637"/>
      <c r="C1865" s="637"/>
      <c r="D1865" s="637"/>
      <c r="E1865" s="637"/>
      <c r="F1865" s="637"/>
      <c r="G1865" s="637"/>
      <c r="H1865" s="637"/>
      <c r="I1865" s="637"/>
      <c r="J1865" s="637"/>
    </row>
    <row r="1866" spans="1:10" x14ac:dyDescent="0.2">
      <c r="A1866" s="626"/>
      <c r="B1866" s="637"/>
      <c r="C1866" s="637"/>
      <c r="D1866" s="637"/>
      <c r="E1866" s="637"/>
      <c r="F1866" s="637"/>
      <c r="G1866" s="637"/>
      <c r="H1866" s="637"/>
      <c r="I1866" s="637"/>
      <c r="J1866" s="637"/>
    </row>
    <row r="1867" spans="1:10" x14ac:dyDescent="0.2">
      <c r="A1867" s="626"/>
      <c r="B1867" s="637"/>
      <c r="C1867" s="637"/>
      <c r="D1867" s="637"/>
      <c r="E1867" s="637"/>
      <c r="F1867" s="637"/>
      <c r="G1867" s="637"/>
      <c r="H1867" s="637"/>
      <c r="I1867" s="637"/>
      <c r="J1867" s="637"/>
    </row>
    <row r="1868" spans="1:10" x14ac:dyDescent="0.2">
      <c r="A1868" s="626"/>
      <c r="B1868" s="637"/>
      <c r="C1868" s="637"/>
      <c r="D1868" s="637"/>
      <c r="E1868" s="637"/>
      <c r="F1868" s="637"/>
      <c r="G1868" s="637"/>
      <c r="H1868" s="637"/>
      <c r="I1868" s="637"/>
      <c r="J1868" s="637"/>
    </row>
    <row r="1869" spans="1:10" x14ac:dyDescent="0.2">
      <c r="A1869" s="626"/>
      <c r="B1869" s="637"/>
      <c r="C1869" s="637"/>
      <c r="D1869" s="637"/>
      <c r="E1869" s="637"/>
      <c r="F1869" s="637"/>
      <c r="G1869" s="637"/>
      <c r="H1869" s="637"/>
      <c r="I1869" s="637"/>
      <c r="J1869" s="637"/>
    </row>
    <row r="1870" spans="1:10" x14ac:dyDescent="0.2">
      <c r="A1870" s="626"/>
      <c r="B1870" s="637"/>
      <c r="C1870" s="637"/>
      <c r="D1870" s="637"/>
      <c r="E1870" s="637"/>
      <c r="F1870" s="637"/>
      <c r="G1870" s="637"/>
      <c r="H1870" s="637"/>
      <c r="I1870" s="637"/>
      <c r="J1870" s="637"/>
    </row>
    <row r="1871" spans="1:10" x14ac:dyDescent="0.2">
      <c r="A1871" s="626"/>
      <c r="B1871" s="637"/>
      <c r="C1871" s="637"/>
      <c r="D1871" s="637"/>
      <c r="E1871" s="637"/>
      <c r="F1871" s="637"/>
      <c r="G1871" s="637"/>
      <c r="H1871" s="637"/>
      <c r="I1871" s="637"/>
      <c r="J1871" s="637"/>
    </row>
    <row r="1872" spans="1:10" x14ac:dyDescent="0.2">
      <c r="A1872" s="626"/>
      <c r="B1872" s="637"/>
      <c r="C1872" s="637"/>
      <c r="D1872" s="637"/>
      <c r="E1872" s="637"/>
      <c r="F1872" s="637"/>
      <c r="G1872" s="637"/>
      <c r="H1872" s="637"/>
      <c r="I1872" s="637"/>
      <c r="J1872" s="637"/>
    </row>
    <row r="1873" spans="1:10" x14ac:dyDescent="0.2">
      <c r="A1873" s="626"/>
      <c r="B1873" s="637"/>
      <c r="C1873" s="637"/>
      <c r="D1873" s="637"/>
      <c r="E1873" s="637"/>
      <c r="F1873" s="637"/>
      <c r="G1873" s="637"/>
      <c r="H1873" s="637"/>
      <c r="I1873" s="637"/>
      <c r="J1873" s="637"/>
    </row>
    <row r="1874" spans="1:10" x14ac:dyDescent="0.2">
      <c r="A1874" s="626"/>
      <c r="B1874" s="637"/>
      <c r="C1874" s="637"/>
      <c r="D1874" s="637"/>
      <c r="E1874" s="637"/>
      <c r="F1874" s="637"/>
      <c r="G1874" s="637"/>
      <c r="H1874" s="637"/>
      <c r="I1874" s="637"/>
      <c r="J1874" s="637"/>
    </row>
    <row r="1875" spans="1:10" x14ac:dyDescent="0.2">
      <c r="A1875" s="626"/>
      <c r="B1875" s="637"/>
      <c r="C1875" s="637"/>
      <c r="D1875" s="637"/>
      <c r="E1875" s="637"/>
      <c r="F1875" s="637"/>
      <c r="G1875" s="637"/>
      <c r="H1875" s="637"/>
      <c r="I1875" s="637"/>
      <c r="J1875" s="637"/>
    </row>
    <row r="1876" spans="1:10" x14ac:dyDescent="0.2">
      <c r="A1876" s="626"/>
      <c r="B1876" s="637"/>
      <c r="C1876" s="637"/>
      <c r="D1876" s="637"/>
      <c r="E1876" s="637"/>
      <c r="F1876" s="637"/>
      <c r="G1876" s="637"/>
      <c r="H1876" s="637"/>
      <c r="I1876" s="637"/>
      <c r="J1876" s="637"/>
    </row>
    <row r="1877" spans="1:10" x14ac:dyDescent="0.2">
      <c r="A1877" s="626"/>
      <c r="B1877" s="637"/>
      <c r="C1877" s="637"/>
      <c r="D1877" s="637"/>
      <c r="E1877" s="637"/>
      <c r="F1877" s="637"/>
      <c r="G1877" s="637"/>
      <c r="H1877" s="637"/>
      <c r="I1877" s="637"/>
      <c r="J1877" s="637"/>
    </row>
    <row r="1878" spans="1:10" x14ac:dyDescent="0.2">
      <c r="A1878" s="626"/>
      <c r="B1878" s="637"/>
      <c r="C1878" s="637"/>
      <c r="D1878" s="637"/>
      <c r="E1878" s="637"/>
      <c r="F1878" s="637"/>
      <c r="G1878" s="637"/>
      <c r="H1878" s="637"/>
      <c r="I1878" s="637"/>
      <c r="J1878" s="637"/>
    </row>
    <row r="1879" spans="1:10" x14ac:dyDescent="0.2">
      <c r="A1879" s="626"/>
      <c r="B1879" s="637"/>
      <c r="C1879" s="637"/>
      <c r="D1879" s="637"/>
      <c r="E1879" s="637"/>
      <c r="F1879" s="637"/>
      <c r="G1879" s="637"/>
      <c r="H1879" s="637"/>
      <c r="I1879" s="637"/>
      <c r="J1879" s="637"/>
    </row>
    <row r="1880" spans="1:10" x14ac:dyDescent="0.2">
      <c r="A1880" s="626"/>
      <c r="B1880" s="637"/>
      <c r="C1880" s="637"/>
      <c r="D1880" s="637"/>
      <c r="E1880" s="637"/>
      <c r="F1880" s="637"/>
      <c r="G1880" s="637"/>
      <c r="H1880" s="637"/>
      <c r="I1880" s="637"/>
      <c r="J1880" s="637"/>
    </row>
    <row r="1881" spans="1:10" x14ac:dyDescent="0.2">
      <c r="A1881" s="626"/>
      <c r="B1881" s="637"/>
      <c r="C1881" s="637"/>
      <c r="D1881" s="637"/>
      <c r="E1881" s="637"/>
      <c r="F1881" s="637"/>
      <c r="G1881" s="637"/>
      <c r="H1881" s="637"/>
      <c r="I1881" s="637"/>
      <c r="J1881" s="637"/>
    </row>
    <row r="1882" spans="1:10" x14ac:dyDescent="0.2">
      <c r="A1882" s="626"/>
      <c r="B1882" s="637"/>
      <c r="C1882" s="637"/>
      <c r="D1882" s="637"/>
      <c r="E1882" s="637"/>
      <c r="F1882" s="637"/>
      <c r="G1882" s="637"/>
      <c r="H1882" s="637"/>
      <c r="I1882" s="637"/>
      <c r="J1882" s="637"/>
    </row>
    <row r="1883" spans="1:10" x14ac:dyDescent="0.2">
      <c r="A1883" s="626"/>
      <c r="B1883" s="637"/>
      <c r="C1883" s="637"/>
      <c r="D1883" s="637"/>
      <c r="E1883" s="637"/>
      <c r="F1883" s="637"/>
      <c r="G1883" s="637"/>
      <c r="H1883" s="637"/>
      <c r="I1883" s="637"/>
      <c r="J1883" s="637"/>
    </row>
    <row r="1884" spans="1:10" x14ac:dyDescent="0.2">
      <c r="A1884" s="626"/>
      <c r="B1884" s="637"/>
      <c r="C1884" s="637"/>
      <c r="D1884" s="637"/>
      <c r="E1884" s="637"/>
      <c r="F1884" s="637"/>
      <c r="G1884" s="637"/>
      <c r="H1884" s="637"/>
      <c r="I1884" s="637"/>
      <c r="J1884" s="637"/>
    </row>
    <row r="1885" spans="1:10" x14ac:dyDescent="0.2">
      <c r="A1885" s="626"/>
      <c r="B1885" s="637"/>
      <c r="C1885" s="637"/>
      <c r="D1885" s="637"/>
      <c r="E1885" s="637"/>
      <c r="F1885" s="637"/>
      <c r="G1885" s="637"/>
      <c r="H1885" s="637"/>
      <c r="I1885" s="637"/>
      <c r="J1885" s="637"/>
    </row>
    <row r="1886" spans="1:10" x14ac:dyDescent="0.2">
      <c r="A1886" s="626"/>
      <c r="B1886" s="637"/>
      <c r="C1886" s="637"/>
      <c r="D1886" s="637"/>
      <c r="E1886" s="637"/>
      <c r="F1886" s="637"/>
      <c r="G1886" s="637"/>
      <c r="H1886" s="637"/>
      <c r="I1886" s="637"/>
      <c r="J1886" s="637"/>
    </row>
    <row r="1887" spans="1:10" x14ac:dyDescent="0.2">
      <c r="A1887" s="626"/>
      <c r="B1887" s="637"/>
      <c r="C1887" s="637"/>
      <c r="D1887" s="637"/>
      <c r="E1887" s="637"/>
      <c r="F1887" s="637"/>
      <c r="G1887" s="637"/>
      <c r="H1887" s="637"/>
      <c r="I1887" s="637"/>
      <c r="J1887" s="637"/>
    </row>
    <row r="1888" spans="1:10" x14ac:dyDescent="0.2">
      <c r="A1888" s="626"/>
      <c r="B1888" s="637"/>
      <c r="C1888" s="637"/>
      <c r="D1888" s="637"/>
      <c r="E1888" s="637"/>
      <c r="F1888" s="637"/>
      <c r="G1888" s="637"/>
      <c r="H1888" s="637"/>
      <c r="I1888" s="637"/>
      <c r="J1888" s="637"/>
    </row>
    <row r="1889" spans="1:10" x14ac:dyDescent="0.2">
      <c r="A1889" s="626"/>
      <c r="B1889" s="637"/>
      <c r="C1889" s="637"/>
      <c r="D1889" s="637"/>
      <c r="E1889" s="637"/>
      <c r="F1889" s="637"/>
      <c r="G1889" s="637"/>
      <c r="H1889" s="637"/>
      <c r="I1889" s="637"/>
      <c r="J1889" s="637"/>
    </row>
    <row r="1890" spans="1:10" x14ac:dyDescent="0.2">
      <c r="A1890" s="626"/>
      <c r="B1890" s="637"/>
      <c r="C1890" s="637"/>
      <c r="D1890" s="637"/>
      <c r="E1890" s="637"/>
      <c r="F1890" s="637"/>
      <c r="G1890" s="637"/>
      <c r="H1890" s="637"/>
      <c r="I1890" s="637"/>
      <c r="J1890" s="637"/>
    </row>
    <row r="1891" spans="1:10" x14ac:dyDescent="0.2">
      <c r="A1891" s="626"/>
      <c r="B1891" s="637"/>
      <c r="C1891" s="637"/>
      <c r="D1891" s="637"/>
      <c r="E1891" s="637"/>
      <c r="F1891" s="637"/>
      <c r="G1891" s="637"/>
      <c r="H1891" s="637"/>
      <c r="I1891" s="637"/>
      <c r="J1891" s="637"/>
    </row>
    <row r="1892" spans="1:10" x14ac:dyDescent="0.2">
      <c r="A1892" s="626"/>
      <c r="B1892" s="637"/>
      <c r="C1892" s="637"/>
      <c r="D1892" s="637"/>
      <c r="E1892" s="637"/>
      <c r="F1892" s="637"/>
      <c r="G1892" s="637"/>
      <c r="H1892" s="637"/>
      <c r="I1892" s="637"/>
      <c r="J1892" s="637"/>
    </row>
    <row r="1893" spans="1:10" x14ac:dyDescent="0.2">
      <c r="A1893" s="626"/>
      <c r="B1893" s="637"/>
      <c r="C1893" s="637"/>
      <c r="D1893" s="637"/>
      <c r="E1893" s="637"/>
      <c r="F1893" s="637"/>
      <c r="G1893" s="637"/>
      <c r="H1893" s="637"/>
      <c r="I1893" s="637"/>
      <c r="J1893" s="637"/>
    </row>
    <row r="1894" spans="1:10" x14ac:dyDescent="0.2">
      <c r="A1894" s="626"/>
      <c r="B1894" s="637"/>
      <c r="C1894" s="637"/>
      <c r="D1894" s="637"/>
      <c r="E1894" s="637"/>
      <c r="F1894" s="637"/>
      <c r="G1894" s="637"/>
      <c r="H1894" s="637"/>
      <c r="I1894" s="637"/>
      <c r="J1894" s="637"/>
    </row>
    <row r="1895" spans="1:10" x14ac:dyDescent="0.2">
      <c r="A1895" s="626"/>
      <c r="B1895" s="637"/>
      <c r="C1895" s="637"/>
      <c r="D1895" s="637"/>
      <c r="E1895" s="637"/>
      <c r="F1895" s="637"/>
      <c r="G1895" s="637"/>
      <c r="H1895" s="637"/>
      <c r="I1895" s="637"/>
      <c r="J1895" s="637"/>
    </row>
    <row r="1896" spans="1:10" x14ac:dyDescent="0.2">
      <c r="A1896" s="626"/>
      <c r="B1896" s="637"/>
      <c r="C1896" s="637"/>
      <c r="D1896" s="637"/>
      <c r="E1896" s="637"/>
      <c r="F1896" s="637"/>
      <c r="G1896" s="637"/>
      <c r="H1896" s="637"/>
      <c r="I1896" s="637"/>
      <c r="J1896" s="637"/>
    </row>
    <row r="1897" spans="1:10" x14ac:dyDescent="0.2">
      <c r="A1897" s="626"/>
      <c r="B1897" s="637"/>
      <c r="C1897" s="637"/>
      <c r="D1897" s="637"/>
      <c r="E1897" s="637"/>
      <c r="F1897" s="637"/>
      <c r="G1897" s="637"/>
      <c r="H1897" s="637"/>
      <c r="I1897" s="637"/>
      <c r="J1897" s="637"/>
    </row>
    <row r="1898" spans="1:10" x14ac:dyDescent="0.2">
      <c r="A1898" s="626"/>
      <c r="B1898" s="637"/>
      <c r="C1898" s="637"/>
      <c r="D1898" s="637"/>
      <c r="E1898" s="637"/>
      <c r="F1898" s="637"/>
      <c r="G1898" s="637"/>
      <c r="H1898" s="637"/>
      <c r="I1898" s="637"/>
      <c r="J1898" s="637"/>
    </row>
    <row r="1899" spans="1:10" x14ac:dyDescent="0.2">
      <c r="A1899" s="626"/>
      <c r="B1899" s="637"/>
      <c r="C1899" s="637"/>
      <c r="D1899" s="637"/>
      <c r="E1899" s="637"/>
      <c r="F1899" s="637"/>
      <c r="G1899" s="637"/>
      <c r="H1899" s="637"/>
      <c r="I1899" s="637"/>
      <c r="J1899" s="637"/>
    </row>
    <row r="1900" spans="1:10" x14ac:dyDescent="0.2">
      <c r="A1900" s="626"/>
      <c r="B1900" s="637"/>
      <c r="C1900" s="637"/>
      <c r="D1900" s="637"/>
      <c r="E1900" s="637"/>
      <c r="F1900" s="637"/>
      <c r="G1900" s="637"/>
      <c r="H1900" s="637"/>
      <c r="I1900" s="637"/>
      <c r="J1900" s="637"/>
    </row>
    <row r="1901" spans="1:10" x14ac:dyDescent="0.2">
      <c r="A1901" s="626"/>
      <c r="B1901" s="637"/>
      <c r="C1901" s="637"/>
      <c r="D1901" s="637"/>
      <c r="E1901" s="637"/>
      <c r="F1901" s="637"/>
      <c r="G1901" s="637"/>
      <c r="H1901" s="637"/>
      <c r="I1901" s="637"/>
      <c r="J1901" s="637"/>
    </row>
    <row r="1902" spans="1:10" x14ac:dyDescent="0.2">
      <c r="A1902" s="626"/>
      <c r="B1902" s="637"/>
      <c r="C1902" s="637"/>
      <c r="D1902" s="637"/>
      <c r="E1902" s="637"/>
      <c r="F1902" s="637"/>
      <c r="G1902" s="637"/>
      <c r="H1902" s="637"/>
      <c r="I1902" s="637"/>
      <c r="J1902" s="637"/>
    </row>
    <row r="1903" spans="1:10" x14ac:dyDescent="0.2">
      <c r="A1903" s="626"/>
      <c r="B1903" s="637"/>
      <c r="C1903" s="637"/>
      <c r="D1903" s="637"/>
      <c r="E1903" s="637"/>
      <c r="F1903" s="637"/>
      <c r="G1903" s="637"/>
      <c r="H1903" s="637"/>
      <c r="I1903" s="637"/>
      <c r="J1903" s="637"/>
    </row>
    <row r="1904" spans="1:10" x14ac:dyDescent="0.2">
      <c r="A1904" s="626"/>
      <c r="B1904" s="637"/>
      <c r="C1904" s="637"/>
      <c r="D1904" s="637"/>
      <c r="E1904" s="637"/>
      <c r="F1904" s="637"/>
      <c r="G1904" s="637"/>
      <c r="H1904" s="637"/>
      <c r="I1904" s="637"/>
      <c r="J1904" s="637"/>
    </row>
    <row r="1905" spans="1:10" x14ac:dyDescent="0.2">
      <c r="A1905" s="626"/>
      <c r="B1905" s="637"/>
      <c r="C1905" s="637"/>
      <c r="D1905" s="637"/>
      <c r="E1905" s="637"/>
      <c r="F1905" s="637"/>
      <c r="G1905" s="637"/>
      <c r="H1905" s="637"/>
      <c r="I1905" s="637"/>
      <c r="J1905" s="637"/>
    </row>
    <row r="1906" spans="1:10" x14ac:dyDescent="0.2">
      <c r="A1906" s="626"/>
      <c r="B1906" s="637"/>
      <c r="C1906" s="637"/>
      <c r="D1906" s="637"/>
      <c r="E1906" s="637"/>
      <c r="F1906" s="637"/>
      <c r="G1906" s="637"/>
      <c r="H1906" s="637"/>
      <c r="I1906" s="637"/>
      <c r="J1906" s="637"/>
    </row>
    <row r="1907" spans="1:10" x14ac:dyDescent="0.2">
      <c r="A1907" s="626"/>
      <c r="B1907" s="637"/>
      <c r="C1907" s="637"/>
      <c r="D1907" s="637"/>
      <c r="E1907" s="637"/>
      <c r="F1907" s="637"/>
      <c r="G1907" s="637"/>
      <c r="H1907" s="637"/>
      <c r="I1907" s="637"/>
      <c r="J1907" s="637"/>
    </row>
    <row r="1908" spans="1:10" x14ac:dyDescent="0.2">
      <c r="A1908" s="626"/>
      <c r="B1908" s="637"/>
      <c r="C1908" s="637"/>
      <c r="D1908" s="637"/>
      <c r="E1908" s="637"/>
      <c r="F1908" s="637"/>
      <c r="G1908" s="637"/>
      <c r="H1908" s="637"/>
      <c r="I1908" s="637"/>
      <c r="J1908" s="637"/>
    </row>
    <row r="1909" spans="1:10" x14ac:dyDescent="0.2">
      <c r="A1909" s="626"/>
      <c r="B1909" s="637"/>
      <c r="C1909" s="637"/>
      <c r="D1909" s="637"/>
      <c r="E1909" s="637"/>
      <c r="F1909" s="637"/>
      <c r="G1909" s="637"/>
      <c r="H1909" s="637"/>
      <c r="I1909" s="637"/>
      <c r="J1909" s="637"/>
    </row>
    <row r="1910" spans="1:10" x14ac:dyDescent="0.2">
      <c r="A1910" s="626"/>
      <c r="B1910" s="637"/>
      <c r="C1910" s="637"/>
      <c r="D1910" s="637"/>
      <c r="E1910" s="637"/>
      <c r="F1910" s="637"/>
      <c r="G1910" s="637"/>
      <c r="H1910" s="637"/>
      <c r="I1910" s="637"/>
      <c r="J1910" s="637"/>
    </row>
    <row r="1911" spans="1:10" x14ac:dyDescent="0.2">
      <c r="A1911" s="626"/>
      <c r="B1911" s="637"/>
      <c r="C1911" s="637"/>
      <c r="D1911" s="637"/>
      <c r="E1911" s="637"/>
      <c r="F1911" s="637"/>
      <c r="G1911" s="637"/>
      <c r="H1911" s="637"/>
      <c r="I1911" s="637"/>
      <c r="J1911" s="637"/>
    </row>
    <row r="1912" spans="1:10" x14ac:dyDescent="0.2">
      <c r="A1912" s="626"/>
      <c r="B1912" s="637"/>
      <c r="C1912" s="637"/>
      <c r="D1912" s="637"/>
      <c r="E1912" s="637"/>
      <c r="F1912" s="637"/>
      <c r="G1912" s="637"/>
      <c r="H1912" s="637"/>
      <c r="I1912" s="637"/>
      <c r="J1912" s="637"/>
    </row>
    <row r="1913" spans="1:10" x14ac:dyDescent="0.2">
      <c r="A1913" s="626"/>
      <c r="B1913" s="637"/>
      <c r="C1913" s="637"/>
      <c r="D1913" s="637"/>
      <c r="E1913" s="637"/>
      <c r="F1913" s="637"/>
      <c r="G1913" s="637"/>
      <c r="H1913" s="637"/>
      <c r="I1913" s="637"/>
      <c r="J1913" s="637"/>
    </row>
    <row r="1914" spans="1:10" x14ac:dyDescent="0.2">
      <c r="A1914" s="626"/>
      <c r="B1914" s="637"/>
      <c r="C1914" s="637"/>
      <c r="D1914" s="637"/>
      <c r="E1914" s="637"/>
      <c r="F1914" s="637"/>
      <c r="G1914" s="637"/>
      <c r="H1914" s="637"/>
      <c r="I1914" s="637"/>
      <c r="J1914" s="637"/>
    </row>
    <row r="1915" spans="1:10" x14ac:dyDescent="0.2">
      <c r="A1915" s="626"/>
      <c r="B1915" s="637"/>
      <c r="C1915" s="637"/>
      <c r="D1915" s="637"/>
      <c r="E1915" s="637"/>
      <c r="F1915" s="637"/>
      <c r="G1915" s="637"/>
      <c r="H1915" s="637"/>
      <c r="I1915" s="637"/>
      <c r="J1915" s="637"/>
    </row>
    <row r="1916" spans="1:10" x14ac:dyDescent="0.2">
      <c r="A1916" s="626"/>
      <c r="B1916" s="637"/>
      <c r="C1916" s="637"/>
      <c r="D1916" s="637"/>
      <c r="E1916" s="637"/>
      <c r="F1916" s="637"/>
      <c r="G1916" s="637"/>
      <c r="H1916" s="637"/>
      <c r="I1916" s="637"/>
      <c r="J1916" s="637"/>
    </row>
    <row r="1917" spans="1:10" x14ac:dyDescent="0.2">
      <c r="A1917" s="626"/>
      <c r="B1917" s="637"/>
      <c r="C1917" s="637"/>
      <c r="D1917" s="637"/>
      <c r="E1917" s="637"/>
      <c r="F1917" s="637"/>
      <c r="G1917" s="637"/>
      <c r="H1917" s="637"/>
      <c r="I1917" s="637"/>
      <c r="J1917" s="637"/>
    </row>
    <row r="1918" spans="1:10" x14ac:dyDescent="0.2">
      <c r="A1918" s="626"/>
      <c r="B1918" s="637"/>
      <c r="C1918" s="637"/>
      <c r="D1918" s="637"/>
      <c r="E1918" s="637"/>
      <c r="F1918" s="637"/>
      <c r="G1918" s="637"/>
      <c r="H1918" s="637"/>
      <c r="I1918" s="637"/>
      <c r="J1918" s="637"/>
    </row>
    <row r="1919" spans="1:10" x14ac:dyDescent="0.2">
      <c r="A1919" s="626"/>
      <c r="B1919" s="637"/>
      <c r="C1919" s="637"/>
      <c r="D1919" s="637"/>
      <c r="E1919" s="637"/>
      <c r="F1919" s="637"/>
      <c r="G1919" s="637"/>
      <c r="H1919" s="637"/>
      <c r="I1919" s="637"/>
      <c r="J1919" s="637"/>
    </row>
    <row r="1920" spans="1:10" x14ac:dyDescent="0.2">
      <c r="A1920" s="626"/>
      <c r="B1920" s="637"/>
      <c r="C1920" s="637"/>
      <c r="D1920" s="637"/>
      <c r="E1920" s="637"/>
      <c r="F1920" s="637"/>
      <c r="G1920" s="637"/>
      <c r="H1920" s="637"/>
      <c r="I1920" s="637"/>
      <c r="J1920" s="637"/>
    </row>
    <row r="1921" spans="1:10" x14ac:dyDescent="0.2">
      <c r="A1921" s="626"/>
      <c r="B1921" s="637"/>
      <c r="C1921" s="637"/>
      <c r="D1921" s="637"/>
      <c r="E1921" s="637"/>
      <c r="F1921" s="637"/>
      <c r="G1921" s="637"/>
      <c r="H1921" s="637"/>
      <c r="I1921" s="637"/>
      <c r="J1921" s="637"/>
    </row>
    <row r="1922" spans="1:10" x14ac:dyDescent="0.2">
      <c r="A1922" s="626"/>
      <c r="B1922" s="637"/>
      <c r="C1922" s="637"/>
      <c r="D1922" s="637"/>
      <c r="E1922" s="637"/>
      <c r="F1922" s="637"/>
      <c r="G1922" s="637"/>
      <c r="H1922" s="637"/>
      <c r="I1922" s="637"/>
      <c r="J1922" s="637"/>
    </row>
    <row r="1923" spans="1:10" x14ac:dyDescent="0.2">
      <c r="A1923" s="626"/>
      <c r="B1923" s="637"/>
      <c r="C1923" s="637"/>
      <c r="D1923" s="637"/>
      <c r="E1923" s="637"/>
      <c r="F1923" s="637"/>
      <c r="G1923" s="637"/>
      <c r="H1923" s="637"/>
      <c r="I1923" s="637"/>
      <c r="J1923" s="637"/>
    </row>
    <row r="1924" spans="1:10" x14ac:dyDescent="0.2">
      <c r="A1924" s="626"/>
      <c r="B1924" s="637"/>
      <c r="C1924" s="637"/>
      <c r="D1924" s="637"/>
      <c r="E1924" s="637"/>
      <c r="F1924" s="637"/>
      <c r="G1924" s="637"/>
      <c r="H1924" s="637"/>
      <c r="I1924" s="637"/>
      <c r="J1924" s="637"/>
    </row>
    <row r="1925" spans="1:10" x14ac:dyDescent="0.2">
      <c r="A1925" s="626"/>
      <c r="B1925" s="637"/>
      <c r="C1925" s="637"/>
      <c r="D1925" s="637"/>
      <c r="E1925" s="637"/>
      <c r="F1925" s="637"/>
      <c r="G1925" s="637"/>
      <c r="H1925" s="637"/>
      <c r="I1925" s="637"/>
      <c r="J1925" s="637"/>
    </row>
    <row r="1926" spans="1:10" x14ac:dyDescent="0.2">
      <c r="A1926" s="626"/>
      <c r="B1926" s="637"/>
      <c r="C1926" s="637"/>
      <c r="D1926" s="637"/>
      <c r="E1926" s="637"/>
      <c r="F1926" s="637"/>
      <c r="G1926" s="637"/>
      <c r="H1926" s="637"/>
      <c r="I1926" s="637"/>
      <c r="J1926" s="637"/>
    </row>
    <row r="1927" spans="1:10" x14ac:dyDescent="0.2">
      <c r="A1927" s="626"/>
      <c r="B1927" s="637"/>
      <c r="C1927" s="637"/>
      <c r="D1927" s="637"/>
      <c r="E1927" s="637"/>
      <c r="F1927" s="637"/>
      <c r="G1927" s="637"/>
      <c r="H1927" s="637"/>
      <c r="I1927" s="637"/>
      <c r="J1927" s="637"/>
    </row>
    <row r="1928" spans="1:10" x14ac:dyDescent="0.2">
      <c r="A1928" s="626"/>
      <c r="B1928" s="637"/>
      <c r="C1928" s="637"/>
      <c r="D1928" s="637"/>
      <c r="E1928" s="637"/>
      <c r="F1928" s="637"/>
      <c r="G1928" s="637"/>
      <c r="H1928" s="637"/>
      <c r="I1928" s="637"/>
      <c r="J1928" s="637"/>
    </row>
    <row r="1929" spans="1:10" x14ac:dyDescent="0.2">
      <c r="A1929" s="626"/>
      <c r="B1929" s="637"/>
      <c r="C1929" s="637"/>
      <c r="D1929" s="637"/>
      <c r="E1929" s="637"/>
      <c r="F1929" s="637"/>
      <c r="G1929" s="637"/>
      <c r="H1929" s="637"/>
      <c r="I1929" s="637"/>
      <c r="J1929" s="637"/>
    </row>
    <row r="1930" spans="1:10" x14ac:dyDescent="0.2">
      <c r="A1930" s="626"/>
      <c r="B1930" s="637"/>
      <c r="C1930" s="637"/>
      <c r="D1930" s="637"/>
      <c r="E1930" s="637"/>
      <c r="F1930" s="637"/>
      <c r="G1930" s="637"/>
      <c r="H1930" s="637"/>
      <c r="I1930" s="637"/>
      <c r="J1930" s="637"/>
    </row>
    <row r="1931" spans="1:10" x14ac:dyDescent="0.2">
      <c r="A1931" s="626"/>
      <c r="B1931" s="637"/>
      <c r="C1931" s="637"/>
      <c r="D1931" s="637"/>
      <c r="E1931" s="637"/>
      <c r="F1931" s="637"/>
      <c r="G1931" s="637"/>
      <c r="H1931" s="637"/>
      <c r="I1931" s="637"/>
      <c r="J1931" s="637"/>
    </row>
    <row r="1932" spans="1:10" x14ac:dyDescent="0.2">
      <c r="A1932" s="626"/>
      <c r="B1932" s="637"/>
      <c r="C1932" s="637"/>
      <c r="D1932" s="637"/>
      <c r="E1932" s="637"/>
      <c r="F1932" s="637"/>
      <c r="G1932" s="637"/>
      <c r="H1932" s="637"/>
      <c r="I1932" s="637"/>
      <c r="J1932" s="637"/>
    </row>
    <row r="1933" spans="1:10" x14ac:dyDescent="0.2">
      <c r="A1933" s="626"/>
      <c r="B1933" s="637"/>
      <c r="C1933" s="637"/>
      <c r="D1933" s="637"/>
      <c r="E1933" s="637"/>
      <c r="F1933" s="637"/>
      <c r="G1933" s="637"/>
      <c r="H1933" s="637"/>
      <c r="I1933" s="637"/>
      <c r="J1933" s="637"/>
    </row>
    <row r="1934" spans="1:10" x14ac:dyDescent="0.2">
      <c r="A1934" s="626"/>
      <c r="B1934" s="637"/>
      <c r="C1934" s="637"/>
      <c r="D1934" s="637"/>
      <c r="E1934" s="637"/>
      <c r="F1934" s="637"/>
      <c r="G1934" s="637"/>
      <c r="H1934" s="637"/>
      <c r="I1934" s="637"/>
      <c r="J1934" s="637"/>
    </row>
    <row r="1935" spans="1:10" x14ac:dyDescent="0.2">
      <c r="A1935" s="626"/>
      <c r="B1935" s="637"/>
      <c r="C1935" s="637"/>
      <c r="D1935" s="637"/>
      <c r="E1935" s="637"/>
      <c r="F1935" s="637"/>
      <c r="G1935" s="637"/>
      <c r="H1935" s="637"/>
      <c r="I1935" s="637"/>
      <c r="J1935" s="637"/>
    </row>
    <row r="1936" spans="1:10" x14ac:dyDescent="0.2">
      <c r="A1936" s="626"/>
      <c r="B1936" s="637"/>
      <c r="C1936" s="637"/>
      <c r="D1936" s="637"/>
      <c r="E1936" s="637"/>
      <c r="F1936" s="637"/>
      <c r="G1936" s="637"/>
      <c r="H1936" s="637"/>
      <c r="I1936" s="637"/>
      <c r="J1936" s="637"/>
    </row>
    <row r="1937" spans="1:10" x14ac:dyDescent="0.2">
      <c r="A1937" s="626"/>
      <c r="B1937" s="637"/>
      <c r="C1937" s="637"/>
      <c r="D1937" s="637"/>
      <c r="E1937" s="637"/>
      <c r="F1937" s="637"/>
      <c r="G1937" s="637"/>
      <c r="H1937" s="637"/>
      <c r="I1937" s="637"/>
      <c r="J1937" s="637"/>
    </row>
    <row r="1938" spans="1:10" x14ac:dyDescent="0.2">
      <c r="A1938" s="626"/>
      <c r="B1938" s="637"/>
      <c r="C1938" s="637"/>
      <c r="D1938" s="637"/>
      <c r="E1938" s="637"/>
      <c r="F1938" s="637"/>
      <c r="G1938" s="637"/>
      <c r="H1938" s="637"/>
      <c r="I1938" s="637"/>
      <c r="J1938" s="637"/>
    </row>
    <row r="1939" spans="1:10" x14ac:dyDescent="0.2">
      <c r="A1939" s="626"/>
      <c r="B1939" s="637"/>
      <c r="C1939" s="637"/>
      <c r="D1939" s="637"/>
      <c r="E1939" s="637"/>
      <c r="F1939" s="637"/>
      <c r="G1939" s="637"/>
      <c r="H1939" s="637"/>
      <c r="I1939" s="637"/>
      <c r="J1939" s="637"/>
    </row>
    <row r="1940" spans="1:10" x14ac:dyDescent="0.2">
      <c r="A1940" s="626"/>
      <c r="B1940" s="637"/>
      <c r="C1940" s="637"/>
      <c r="D1940" s="637"/>
      <c r="E1940" s="637"/>
      <c r="F1940" s="637"/>
      <c r="G1940" s="637"/>
      <c r="H1940" s="637"/>
      <c r="I1940" s="637"/>
      <c r="J1940" s="637"/>
    </row>
    <row r="1941" spans="1:10" x14ac:dyDescent="0.2">
      <c r="A1941" s="626"/>
      <c r="B1941" s="637"/>
      <c r="C1941" s="637"/>
      <c r="D1941" s="637"/>
      <c r="E1941" s="637"/>
      <c r="F1941" s="637"/>
      <c r="G1941" s="637"/>
      <c r="H1941" s="637"/>
      <c r="I1941" s="637"/>
      <c r="J1941" s="637"/>
    </row>
    <row r="1942" spans="1:10" x14ac:dyDescent="0.2">
      <c r="A1942" s="626"/>
      <c r="B1942" s="637"/>
      <c r="C1942" s="637"/>
      <c r="D1942" s="637"/>
      <c r="E1942" s="637"/>
      <c r="F1942" s="637"/>
      <c r="G1942" s="637"/>
      <c r="H1942" s="637"/>
      <c r="I1942" s="637"/>
      <c r="J1942" s="637"/>
    </row>
    <row r="1943" spans="1:10" x14ac:dyDescent="0.2">
      <c r="A1943" s="626"/>
      <c r="B1943" s="637"/>
      <c r="C1943" s="637"/>
      <c r="D1943" s="637"/>
      <c r="E1943" s="637"/>
      <c r="F1943" s="637"/>
      <c r="G1943" s="637"/>
      <c r="H1943" s="637"/>
      <c r="I1943" s="637"/>
      <c r="J1943" s="637"/>
    </row>
    <row r="1944" spans="1:10" x14ac:dyDescent="0.2">
      <c r="A1944" s="626"/>
      <c r="B1944" s="637"/>
      <c r="C1944" s="637"/>
      <c r="D1944" s="637"/>
      <c r="E1944" s="637"/>
      <c r="F1944" s="637"/>
      <c r="G1944" s="637"/>
      <c r="H1944" s="637"/>
      <c r="I1944" s="637"/>
      <c r="J1944" s="637"/>
    </row>
    <row r="1945" spans="1:10" x14ac:dyDescent="0.2">
      <c r="A1945" s="626"/>
      <c r="B1945" s="637"/>
      <c r="C1945" s="637"/>
      <c r="D1945" s="637"/>
      <c r="E1945" s="637"/>
      <c r="F1945" s="637"/>
      <c r="G1945" s="637"/>
      <c r="H1945" s="637"/>
      <c r="I1945" s="637"/>
      <c r="J1945" s="637"/>
    </row>
    <row r="1946" spans="1:10" x14ac:dyDescent="0.2">
      <c r="A1946" s="626"/>
      <c r="B1946" s="637"/>
      <c r="C1946" s="637"/>
      <c r="D1946" s="637"/>
      <c r="E1946" s="637"/>
      <c r="F1946" s="637"/>
      <c r="G1946" s="637"/>
      <c r="H1946" s="637"/>
      <c r="I1946" s="637"/>
      <c r="J1946" s="637"/>
    </row>
    <row r="1947" spans="1:10" x14ac:dyDescent="0.2">
      <c r="A1947" s="626"/>
      <c r="B1947" s="637"/>
      <c r="C1947" s="637"/>
      <c r="D1947" s="637"/>
      <c r="E1947" s="637"/>
      <c r="F1947" s="637"/>
      <c r="G1947" s="637"/>
      <c r="H1947" s="637"/>
      <c r="I1947" s="637"/>
      <c r="J1947" s="637"/>
    </row>
    <row r="1948" spans="1:10" x14ac:dyDescent="0.2">
      <c r="A1948" s="626"/>
      <c r="B1948" s="637"/>
      <c r="C1948" s="637"/>
      <c r="D1948" s="637"/>
      <c r="E1948" s="637"/>
      <c r="F1948" s="637"/>
      <c r="G1948" s="637"/>
      <c r="H1948" s="637"/>
      <c r="I1948" s="637"/>
      <c r="J1948" s="637"/>
    </row>
    <row r="1949" spans="1:10" x14ac:dyDescent="0.2">
      <c r="A1949" s="626"/>
      <c r="B1949" s="637"/>
      <c r="C1949" s="637"/>
      <c r="D1949" s="637"/>
      <c r="E1949" s="637"/>
      <c r="F1949" s="637"/>
      <c r="G1949" s="637"/>
      <c r="H1949" s="637"/>
      <c r="I1949" s="637"/>
      <c r="J1949" s="637"/>
    </row>
    <row r="1950" spans="1:10" x14ac:dyDescent="0.2">
      <c r="A1950" s="626"/>
      <c r="B1950" s="637"/>
      <c r="C1950" s="637"/>
      <c r="D1950" s="637"/>
      <c r="E1950" s="637"/>
      <c r="F1950" s="637"/>
      <c r="G1950" s="637"/>
      <c r="H1950" s="637"/>
      <c r="I1950" s="637"/>
      <c r="J1950" s="637"/>
    </row>
    <row r="1951" spans="1:10" x14ac:dyDescent="0.2">
      <c r="A1951" s="626"/>
      <c r="B1951" s="637"/>
      <c r="C1951" s="637"/>
      <c r="D1951" s="637"/>
      <c r="E1951" s="637"/>
      <c r="F1951" s="637"/>
      <c r="G1951" s="637"/>
      <c r="H1951" s="637"/>
      <c r="I1951" s="637"/>
      <c r="J1951" s="637"/>
    </row>
    <row r="1952" spans="1:10" x14ac:dyDescent="0.2">
      <c r="A1952" s="626"/>
      <c r="B1952" s="637"/>
      <c r="C1952" s="637"/>
      <c r="D1952" s="637"/>
      <c r="E1952" s="637"/>
      <c r="F1952" s="637"/>
      <c r="G1952" s="637"/>
      <c r="H1952" s="637"/>
      <c r="I1952" s="637"/>
      <c r="J1952" s="637"/>
    </row>
    <row r="1953" spans="1:10" x14ac:dyDescent="0.2">
      <c r="A1953" s="626"/>
      <c r="B1953" s="637"/>
      <c r="C1953" s="637"/>
      <c r="D1953" s="637"/>
      <c r="E1953" s="637"/>
      <c r="F1953" s="637"/>
      <c r="G1953" s="637"/>
      <c r="H1953" s="637"/>
      <c r="I1953" s="637"/>
      <c r="J1953" s="637"/>
    </row>
    <row r="1954" spans="1:10" x14ac:dyDescent="0.2">
      <c r="A1954" s="626"/>
      <c r="B1954" s="637"/>
      <c r="C1954" s="637"/>
      <c r="D1954" s="637"/>
      <c r="E1954" s="637"/>
      <c r="F1954" s="637"/>
      <c r="G1954" s="637"/>
      <c r="H1954" s="637"/>
      <c r="I1954" s="637"/>
      <c r="J1954" s="637"/>
    </row>
    <row r="1955" spans="1:10" x14ac:dyDescent="0.2">
      <c r="A1955" s="626"/>
      <c r="B1955" s="637"/>
      <c r="C1955" s="637"/>
      <c r="D1955" s="637"/>
      <c r="E1955" s="637"/>
      <c r="F1955" s="637"/>
      <c r="G1955" s="637"/>
      <c r="H1955" s="637"/>
      <c r="I1955" s="637"/>
      <c r="J1955" s="637"/>
    </row>
    <row r="1956" spans="1:10" x14ac:dyDescent="0.2">
      <c r="A1956" s="626"/>
      <c r="B1956" s="637"/>
      <c r="C1956" s="637"/>
      <c r="D1956" s="637"/>
      <c r="E1956" s="637"/>
      <c r="F1956" s="637"/>
      <c r="G1956" s="637"/>
      <c r="H1956" s="637"/>
      <c r="I1956" s="637"/>
      <c r="J1956" s="637"/>
    </row>
    <row r="1957" spans="1:10" x14ac:dyDescent="0.2">
      <c r="A1957" s="626"/>
      <c r="B1957" s="637"/>
      <c r="C1957" s="637"/>
      <c r="D1957" s="637"/>
      <c r="E1957" s="637"/>
      <c r="F1957" s="637"/>
      <c r="G1957" s="637"/>
      <c r="H1957" s="637"/>
      <c r="I1957" s="637"/>
      <c r="J1957" s="637"/>
    </row>
    <row r="1958" spans="1:10" x14ac:dyDescent="0.2">
      <c r="A1958" s="626"/>
      <c r="B1958" s="637"/>
      <c r="C1958" s="637"/>
      <c r="D1958" s="637"/>
      <c r="E1958" s="637"/>
      <c r="F1958" s="637"/>
      <c r="G1958" s="637"/>
      <c r="H1958" s="637"/>
      <c r="I1958" s="637"/>
      <c r="J1958" s="637"/>
    </row>
    <row r="1959" spans="1:10" x14ac:dyDescent="0.2">
      <c r="A1959" s="626"/>
      <c r="B1959" s="637"/>
      <c r="C1959" s="637"/>
      <c r="D1959" s="637"/>
      <c r="E1959" s="637"/>
      <c r="F1959" s="637"/>
      <c r="G1959" s="637"/>
      <c r="H1959" s="637"/>
      <c r="I1959" s="637"/>
      <c r="J1959" s="637"/>
    </row>
    <row r="1960" spans="1:10" x14ac:dyDescent="0.2">
      <c r="A1960" s="626"/>
      <c r="B1960" s="637"/>
      <c r="C1960" s="637"/>
      <c r="D1960" s="637"/>
      <c r="E1960" s="637"/>
      <c r="F1960" s="637"/>
      <c r="G1960" s="637"/>
      <c r="H1960" s="637"/>
      <c r="I1960" s="637"/>
      <c r="J1960" s="637"/>
    </row>
    <row r="1961" spans="1:10" x14ac:dyDescent="0.2">
      <c r="A1961" s="626"/>
      <c r="B1961" s="637"/>
      <c r="C1961" s="637"/>
      <c r="D1961" s="637"/>
      <c r="E1961" s="637"/>
      <c r="F1961" s="637"/>
      <c r="G1961" s="637"/>
      <c r="H1961" s="637"/>
      <c r="I1961" s="637"/>
      <c r="J1961" s="637"/>
    </row>
    <row r="1962" spans="1:10" x14ac:dyDescent="0.2">
      <c r="A1962" s="626"/>
      <c r="B1962" s="637"/>
      <c r="C1962" s="637"/>
      <c r="D1962" s="637"/>
      <c r="E1962" s="637"/>
      <c r="F1962" s="637"/>
      <c r="G1962" s="637"/>
      <c r="H1962" s="637"/>
      <c r="I1962" s="637"/>
      <c r="J1962" s="637"/>
    </row>
    <row r="1963" spans="1:10" x14ac:dyDescent="0.2">
      <c r="A1963" s="626"/>
      <c r="B1963" s="637"/>
      <c r="C1963" s="637"/>
      <c r="D1963" s="637"/>
      <c r="E1963" s="637"/>
      <c r="F1963" s="637"/>
      <c r="G1963" s="637"/>
      <c r="H1963" s="637"/>
      <c r="I1963" s="637"/>
      <c r="J1963" s="637"/>
    </row>
    <row r="1964" spans="1:10" x14ac:dyDescent="0.2">
      <c r="A1964" s="626"/>
      <c r="B1964" s="637"/>
      <c r="C1964" s="637"/>
      <c r="D1964" s="637"/>
      <c r="E1964" s="637"/>
      <c r="F1964" s="637"/>
      <c r="G1964" s="637"/>
      <c r="H1964" s="637"/>
      <c r="I1964" s="637"/>
      <c r="J1964" s="637"/>
    </row>
    <row r="1965" spans="1:10" x14ac:dyDescent="0.2">
      <c r="A1965" s="626"/>
      <c r="B1965" s="637"/>
      <c r="C1965" s="637"/>
      <c r="D1965" s="637"/>
      <c r="E1965" s="637"/>
      <c r="F1965" s="637"/>
      <c r="G1965" s="637"/>
      <c r="H1965" s="637"/>
      <c r="I1965" s="637"/>
      <c r="J1965" s="637"/>
    </row>
    <row r="1966" spans="1:10" x14ac:dyDescent="0.2">
      <c r="A1966" s="626"/>
      <c r="B1966" s="637"/>
      <c r="C1966" s="637"/>
      <c r="D1966" s="637"/>
      <c r="E1966" s="637"/>
      <c r="F1966" s="637"/>
      <c r="G1966" s="637"/>
      <c r="H1966" s="637"/>
      <c r="I1966" s="637"/>
      <c r="J1966" s="637"/>
    </row>
    <row r="1967" spans="1:10" x14ac:dyDescent="0.2">
      <c r="A1967" s="626"/>
      <c r="B1967" s="637"/>
      <c r="C1967" s="637"/>
      <c r="D1967" s="637"/>
      <c r="E1967" s="637"/>
      <c r="F1967" s="637"/>
      <c r="G1967" s="637"/>
      <c r="H1967" s="637"/>
      <c r="I1967" s="637"/>
      <c r="J1967" s="637"/>
    </row>
    <row r="1968" spans="1:10" x14ac:dyDescent="0.2">
      <c r="A1968" s="626"/>
      <c r="B1968" s="637"/>
      <c r="C1968" s="637"/>
      <c r="D1968" s="637"/>
      <c r="E1968" s="637"/>
      <c r="F1968" s="637"/>
      <c r="G1968" s="637"/>
      <c r="H1968" s="637"/>
      <c r="I1968" s="637"/>
      <c r="J1968" s="637"/>
    </row>
    <row r="1969" spans="1:10" x14ac:dyDescent="0.2">
      <c r="A1969" s="626"/>
      <c r="B1969" s="637"/>
      <c r="C1969" s="637"/>
      <c r="D1969" s="637"/>
      <c r="E1969" s="637"/>
      <c r="F1969" s="637"/>
      <c r="G1969" s="637"/>
      <c r="H1969" s="637"/>
      <c r="I1969" s="637"/>
      <c r="J1969" s="637"/>
    </row>
    <row r="1970" spans="1:10" x14ac:dyDescent="0.2">
      <c r="A1970" s="626"/>
      <c r="B1970" s="637"/>
      <c r="C1970" s="637"/>
      <c r="D1970" s="637"/>
      <c r="E1970" s="637"/>
      <c r="F1970" s="637"/>
      <c r="G1970" s="637"/>
      <c r="H1970" s="637"/>
      <c r="I1970" s="637"/>
      <c r="J1970" s="637"/>
    </row>
    <row r="1971" spans="1:10" x14ac:dyDescent="0.2">
      <c r="A1971" s="626"/>
      <c r="B1971" s="637"/>
      <c r="C1971" s="637"/>
      <c r="D1971" s="637"/>
      <c r="E1971" s="637"/>
      <c r="F1971" s="637"/>
      <c r="G1971" s="637"/>
      <c r="H1971" s="637"/>
      <c r="I1971" s="637"/>
      <c r="J1971" s="637"/>
    </row>
    <row r="1972" spans="1:10" x14ac:dyDescent="0.2">
      <c r="A1972" s="626"/>
      <c r="B1972" s="637"/>
      <c r="C1972" s="637"/>
      <c r="D1972" s="637"/>
      <c r="E1972" s="637"/>
      <c r="F1972" s="637"/>
      <c r="G1972" s="637"/>
      <c r="H1972" s="637"/>
      <c r="I1972" s="637"/>
      <c r="J1972" s="637"/>
    </row>
    <row r="1973" spans="1:10" x14ac:dyDescent="0.2">
      <c r="A1973" s="626"/>
      <c r="B1973" s="637"/>
      <c r="C1973" s="637"/>
      <c r="D1973" s="637"/>
      <c r="E1973" s="637"/>
      <c r="F1973" s="637"/>
      <c r="G1973" s="637"/>
      <c r="H1973" s="637"/>
      <c r="I1973" s="637"/>
      <c r="J1973" s="637"/>
    </row>
    <row r="1974" spans="1:10" x14ac:dyDescent="0.2">
      <c r="A1974" s="626"/>
      <c r="B1974" s="637"/>
      <c r="C1974" s="637"/>
      <c r="D1974" s="637"/>
      <c r="E1974" s="637"/>
      <c r="F1974" s="637"/>
      <c r="G1974" s="637"/>
      <c r="H1974" s="637"/>
      <c r="I1974" s="637"/>
      <c r="J1974" s="637"/>
    </row>
    <row r="1975" spans="1:10" x14ac:dyDescent="0.2">
      <c r="A1975" s="626"/>
      <c r="B1975" s="637"/>
      <c r="C1975" s="637"/>
      <c r="D1975" s="637"/>
      <c r="E1975" s="637"/>
      <c r="F1975" s="637"/>
      <c r="G1975" s="637"/>
      <c r="H1975" s="637"/>
      <c r="I1975" s="637"/>
      <c r="J1975" s="637"/>
    </row>
    <row r="1976" spans="1:10" x14ac:dyDescent="0.2">
      <c r="A1976" s="626"/>
      <c r="B1976" s="637"/>
      <c r="C1976" s="637"/>
      <c r="D1976" s="637"/>
      <c r="E1976" s="637"/>
      <c r="F1976" s="637"/>
      <c r="G1976" s="637"/>
      <c r="H1976" s="637"/>
      <c r="I1976" s="637"/>
      <c r="J1976" s="637"/>
    </row>
    <row r="1977" spans="1:10" x14ac:dyDescent="0.2">
      <c r="A1977" s="626"/>
      <c r="B1977" s="637"/>
      <c r="C1977" s="637"/>
      <c r="D1977" s="637"/>
      <c r="E1977" s="637"/>
      <c r="F1977" s="637"/>
      <c r="G1977" s="637"/>
      <c r="H1977" s="637"/>
      <c r="I1977" s="637"/>
      <c r="J1977" s="637"/>
    </row>
    <row r="1978" spans="1:10" x14ac:dyDescent="0.2">
      <c r="A1978" s="626"/>
      <c r="B1978" s="637"/>
      <c r="C1978" s="637"/>
      <c r="D1978" s="637"/>
      <c r="E1978" s="637"/>
      <c r="F1978" s="637"/>
      <c r="G1978" s="637"/>
      <c r="H1978" s="637"/>
      <c r="I1978" s="637"/>
      <c r="J1978" s="637"/>
    </row>
    <row r="1979" spans="1:10" x14ac:dyDescent="0.2">
      <c r="A1979" s="626"/>
      <c r="B1979" s="637"/>
      <c r="C1979" s="637"/>
      <c r="D1979" s="637"/>
      <c r="E1979" s="637"/>
      <c r="F1979" s="637"/>
      <c r="G1979" s="637"/>
      <c r="H1979" s="637"/>
      <c r="I1979" s="637"/>
      <c r="J1979" s="637"/>
    </row>
    <row r="1980" spans="1:10" x14ac:dyDescent="0.2">
      <c r="A1980" s="626"/>
      <c r="B1980" s="637"/>
      <c r="C1980" s="637"/>
      <c r="D1980" s="637"/>
      <c r="E1980" s="637"/>
      <c r="F1980" s="637"/>
      <c r="G1980" s="637"/>
      <c r="H1980" s="637"/>
      <c r="I1980" s="637"/>
      <c r="J1980" s="637"/>
    </row>
    <row r="1981" spans="1:10" x14ac:dyDescent="0.2">
      <c r="A1981" s="626"/>
      <c r="B1981" s="637"/>
      <c r="C1981" s="637"/>
      <c r="D1981" s="637"/>
      <c r="E1981" s="637"/>
      <c r="F1981" s="637"/>
      <c r="G1981" s="637"/>
      <c r="H1981" s="637"/>
      <c r="I1981" s="637"/>
      <c r="J1981" s="637"/>
    </row>
    <row r="1982" spans="1:10" x14ac:dyDescent="0.2">
      <c r="A1982" s="626"/>
      <c r="B1982" s="637"/>
      <c r="C1982" s="637"/>
      <c r="D1982" s="637"/>
      <c r="E1982" s="637"/>
      <c r="F1982" s="637"/>
      <c r="G1982" s="637"/>
      <c r="H1982" s="637"/>
      <c r="I1982" s="637"/>
      <c r="J1982" s="637"/>
    </row>
    <row r="1983" spans="1:10" x14ac:dyDescent="0.2">
      <c r="A1983" s="626"/>
      <c r="B1983" s="637"/>
      <c r="C1983" s="637"/>
      <c r="D1983" s="637"/>
      <c r="E1983" s="637"/>
      <c r="F1983" s="637"/>
      <c r="G1983" s="637"/>
      <c r="H1983" s="637"/>
      <c r="I1983" s="637"/>
      <c r="J1983" s="637"/>
    </row>
    <row r="1984" spans="1:10" x14ac:dyDescent="0.2">
      <c r="A1984" s="626"/>
      <c r="B1984" s="637"/>
      <c r="C1984" s="637"/>
      <c r="D1984" s="637"/>
      <c r="E1984" s="637"/>
      <c r="F1984" s="637"/>
      <c r="G1984" s="637"/>
      <c r="H1984" s="637"/>
      <c r="I1984" s="637"/>
      <c r="J1984" s="637"/>
    </row>
    <row r="1985" spans="1:10" x14ac:dyDescent="0.2">
      <c r="A1985" s="626"/>
      <c r="B1985" s="637"/>
      <c r="C1985" s="637"/>
      <c r="D1985" s="637"/>
      <c r="E1985" s="637"/>
      <c r="F1985" s="637"/>
      <c r="G1985" s="637"/>
      <c r="H1985" s="637"/>
      <c r="I1985" s="637"/>
      <c r="J1985" s="637"/>
    </row>
    <row r="1986" spans="1:10" x14ac:dyDescent="0.2">
      <c r="A1986" s="626"/>
      <c r="B1986" s="637"/>
      <c r="C1986" s="637"/>
      <c r="D1986" s="637"/>
      <c r="E1986" s="637"/>
      <c r="F1986" s="637"/>
      <c r="G1986" s="637"/>
      <c r="H1986" s="637"/>
      <c r="I1986" s="637"/>
      <c r="J1986" s="637"/>
    </row>
    <row r="1987" spans="1:10" x14ac:dyDescent="0.2">
      <c r="A1987" s="626"/>
      <c r="B1987" s="637"/>
      <c r="C1987" s="637"/>
      <c r="D1987" s="637"/>
      <c r="E1987" s="637"/>
      <c r="F1987" s="637"/>
      <c r="G1987" s="637"/>
      <c r="H1987" s="637"/>
      <c r="I1987" s="637"/>
      <c r="J1987" s="637"/>
    </row>
    <row r="1988" spans="1:10" x14ac:dyDescent="0.2">
      <c r="A1988" s="626"/>
      <c r="B1988" s="637"/>
      <c r="C1988" s="637"/>
      <c r="D1988" s="637"/>
      <c r="E1988" s="637"/>
      <c r="F1988" s="637"/>
      <c r="G1988" s="637"/>
      <c r="H1988" s="637"/>
      <c r="I1988" s="637"/>
      <c r="J1988" s="637"/>
    </row>
    <row r="1989" spans="1:10" x14ac:dyDescent="0.2">
      <c r="A1989" s="626"/>
      <c r="B1989" s="637"/>
      <c r="C1989" s="637"/>
      <c r="D1989" s="637"/>
      <c r="E1989" s="637"/>
      <c r="F1989" s="637"/>
      <c r="G1989" s="637"/>
      <c r="H1989" s="637"/>
      <c r="I1989" s="637"/>
      <c r="J1989" s="637"/>
    </row>
    <row r="1990" spans="1:10" x14ac:dyDescent="0.2">
      <c r="A1990" s="626"/>
      <c r="B1990" s="637"/>
      <c r="C1990" s="637"/>
      <c r="D1990" s="637"/>
      <c r="E1990" s="637"/>
      <c r="F1990" s="637"/>
      <c r="G1990" s="637"/>
      <c r="H1990" s="637"/>
      <c r="I1990" s="637"/>
      <c r="J1990" s="637"/>
    </row>
    <row r="1991" spans="1:10" x14ac:dyDescent="0.2">
      <c r="A1991" s="626"/>
      <c r="B1991" s="637"/>
      <c r="C1991" s="637"/>
      <c r="D1991" s="637"/>
      <c r="E1991" s="637"/>
      <c r="F1991" s="637"/>
      <c r="G1991" s="637"/>
      <c r="H1991" s="637"/>
      <c r="I1991" s="637"/>
      <c r="J1991" s="637"/>
    </row>
    <row r="1992" spans="1:10" x14ac:dyDescent="0.2">
      <c r="A1992" s="626"/>
      <c r="B1992" s="637"/>
      <c r="C1992" s="637"/>
      <c r="D1992" s="637"/>
      <c r="E1992" s="637"/>
      <c r="F1992" s="637"/>
      <c r="G1992" s="637"/>
      <c r="H1992" s="637"/>
      <c r="I1992" s="637"/>
      <c r="J1992" s="637"/>
    </row>
    <row r="1993" spans="1:10" x14ac:dyDescent="0.2">
      <c r="A1993" s="626"/>
      <c r="B1993" s="637"/>
      <c r="C1993" s="637"/>
      <c r="D1993" s="637"/>
      <c r="E1993" s="637"/>
      <c r="F1993" s="637"/>
      <c r="G1993" s="637"/>
      <c r="H1993" s="637"/>
      <c r="I1993" s="637"/>
      <c r="J1993" s="637"/>
    </row>
    <row r="1994" spans="1:10" x14ac:dyDescent="0.2">
      <c r="A1994" s="626"/>
      <c r="B1994" s="637"/>
      <c r="C1994" s="637"/>
      <c r="D1994" s="637"/>
      <c r="E1994" s="637"/>
      <c r="F1994" s="637"/>
      <c r="G1994" s="637"/>
      <c r="H1994" s="637"/>
      <c r="I1994" s="637"/>
      <c r="J1994" s="637"/>
    </row>
    <row r="1995" spans="1:10" x14ac:dyDescent="0.2">
      <c r="A1995" s="626"/>
      <c r="B1995" s="637"/>
      <c r="C1995" s="637"/>
      <c r="D1995" s="637"/>
      <c r="E1995" s="637"/>
      <c r="F1995" s="637"/>
      <c r="G1995" s="637"/>
      <c r="H1995" s="637"/>
      <c r="I1995" s="637"/>
      <c r="J1995" s="637"/>
    </row>
    <row r="1996" spans="1:10" x14ac:dyDescent="0.2">
      <c r="A1996" s="626"/>
      <c r="B1996" s="637"/>
      <c r="C1996" s="637"/>
      <c r="D1996" s="637"/>
      <c r="E1996" s="637"/>
      <c r="F1996" s="637"/>
      <c r="G1996" s="637"/>
      <c r="H1996" s="637"/>
      <c r="I1996" s="637"/>
      <c r="J1996" s="637"/>
    </row>
    <row r="1997" spans="1:10" x14ac:dyDescent="0.2">
      <c r="A1997" s="626"/>
      <c r="B1997" s="637"/>
      <c r="C1997" s="637"/>
      <c r="D1997" s="637"/>
      <c r="E1997" s="637"/>
      <c r="F1997" s="637"/>
      <c r="G1997" s="637"/>
      <c r="H1997" s="637"/>
      <c r="I1997" s="637"/>
      <c r="J1997" s="637"/>
    </row>
    <row r="1998" spans="1:10" x14ac:dyDescent="0.2">
      <c r="A1998" s="626"/>
      <c r="B1998" s="637"/>
      <c r="C1998" s="637"/>
      <c r="D1998" s="637"/>
      <c r="E1998" s="637"/>
      <c r="F1998" s="637"/>
      <c r="G1998" s="637"/>
      <c r="H1998" s="637"/>
      <c r="I1998" s="637"/>
      <c r="J1998" s="637"/>
    </row>
    <row r="1999" spans="1:10" x14ac:dyDescent="0.2">
      <c r="A1999" s="626"/>
      <c r="B1999" s="637"/>
      <c r="C1999" s="637"/>
      <c r="D1999" s="637"/>
      <c r="E1999" s="637"/>
      <c r="F1999" s="637"/>
      <c r="G1999" s="637"/>
      <c r="H1999" s="637"/>
      <c r="I1999" s="637"/>
      <c r="J1999" s="637"/>
    </row>
    <row r="2000" spans="1:10" x14ac:dyDescent="0.2">
      <c r="A2000" s="626"/>
      <c r="B2000" s="637"/>
      <c r="C2000" s="637"/>
      <c r="D2000" s="637"/>
      <c r="E2000" s="637"/>
      <c r="F2000" s="637"/>
      <c r="G2000" s="637"/>
      <c r="H2000" s="637"/>
      <c r="I2000" s="637"/>
      <c r="J2000" s="637"/>
    </row>
    <row r="2001" spans="1:10" x14ac:dyDescent="0.2">
      <c r="A2001" s="626"/>
      <c r="B2001" s="637"/>
      <c r="C2001" s="637"/>
      <c r="D2001" s="637"/>
      <c r="E2001" s="637"/>
      <c r="F2001" s="637"/>
      <c r="G2001" s="637"/>
      <c r="H2001" s="637"/>
      <c r="I2001" s="637"/>
      <c r="J2001" s="637"/>
    </row>
    <row r="2002" spans="1:10" x14ac:dyDescent="0.2">
      <c r="A2002" s="626"/>
      <c r="B2002" s="637"/>
      <c r="C2002" s="637"/>
      <c r="D2002" s="637"/>
      <c r="E2002" s="637"/>
      <c r="F2002" s="637"/>
      <c r="G2002" s="637"/>
      <c r="H2002" s="637"/>
      <c r="I2002" s="637"/>
      <c r="J2002" s="637"/>
    </row>
    <row r="2003" spans="1:10" x14ac:dyDescent="0.2">
      <c r="A2003" s="626"/>
      <c r="B2003" s="637"/>
      <c r="C2003" s="637"/>
      <c r="D2003" s="637"/>
      <c r="E2003" s="637"/>
      <c r="F2003" s="637"/>
      <c r="G2003" s="637"/>
      <c r="H2003" s="637"/>
      <c r="I2003" s="637"/>
      <c r="J2003" s="637"/>
    </row>
    <row r="2004" spans="1:10" x14ac:dyDescent="0.2">
      <c r="A2004" s="626"/>
      <c r="B2004" s="637"/>
      <c r="C2004" s="637"/>
      <c r="D2004" s="637"/>
      <c r="E2004" s="637"/>
      <c r="F2004" s="637"/>
      <c r="G2004" s="637"/>
      <c r="H2004" s="637"/>
      <c r="I2004" s="637"/>
      <c r="J2004" s="637"/>
    </row>
    <row r="2005" spans="1:10" x14ac:dyDescent="0.2">
      <c r="A2005" s="626"/>
      <c r="B2005" s="637"/>
      <c r="C2005" s="637"/>
      <c r="D2005" s="637"/>
      <c r="E2005" s="637"/>
      <c r="F2005" s="637"/>
      <c r="G2005" s="637"/>
      <c r="H2005" s="637"/>
      <c r="I2005" s="637"/>
      <c r="J2005" s="637"/>
    </row>
    <row r="2006" spans="1:10" x14ac:dyDescent="0.2">
      <c r="A2006" s="626"/>
      <c r="B2006" s="637"/>
      <c r="C2006" s="637"/>
      <c r="D2006" s="637"/>
      <c r="E2006" s="637"/>
      <c r="F2006" s="637"/>
      <c r="G2006" s="637"/>
      <c r="H2006" s="637"/>
      <c r="I2006" s="637"/>
      <c r="J2006" s="637"/>
    </row>
    <row r="2007" spans="1:10" x14ac:dyDescent="0.2">
      <c r="A2007" s="626"/>
      <c r="B2007" s="637"/>
      <c r="C2007" s="637"/>
      <c r="D2007" s="637"/>
      <c r="E2007" s="637"/>
      <c r="F2007" s="637"/>
      <c r="G2007" s="637"/>
      <c r="H2007" s="637"/>
      <c r="I2007" s="637"/>
      <c r="J2007" s="637"/>
    </row>
    <row r="2008" spans="1:10" x14ac:dyDescent="0.2">
      <c r="A2008" s="626"/>
      <c r="B2008" s="637"/>
      <c r="C2008" s="637"/>
      <c r="D2008" s="637"/>
      <c r="E2008" s="637"/>
      <c r="F2008" s="637"/>
      <c r="G2008" s="637"/>
      <c r="H2008" s="637"/>
      <c r="I2008" s="637"/>
      <c r="J2008" s="637"/>
    </row>
    <row r="2009" spans="1:10" x14ac:dyDescent="0.2">
      <c r="A2009" s="626"/>
      <c r="B2009" s="637"/>
      <c r="C2009" s="637"/>
      <c r="D2009" s="637"/>
      <c r="E2009" s="637"/>
      <c r="F2009" s="637"/>
      <c r="G2009" s="637"/>
      <c r="H2009" s="637"/>
      <c r="I2009" s="637"/>
      <c r="J2009" s="637"/>
    </row>
    <row r="2010" spans="1:10" x14ac:dyDescent="0.2">
      <c r="A2010" s="626"/>
      <c r="B2010" s="637"/>
      <c r="C2010" s="637"/>
      <c r="D2010" s="637"/>
      <c r="E2010" s="637"/>
      <c r="F2010" s="637"/>
      <c r="G2010" s="637"/>
      <c r="H2010" s="637"/>
      <c r="I2010" s="637"/>
      <c r="J2010" s="637"/>
    </row>
    <row r="2011" spans="1:10" x14ac:dyDescent="0.2">
      <c r="A2011" s="626"/>
      <c r="B2011" s="637"/>
      <c r="C2011" s="637"/>
      <c r="D2011" s="637"/>
      <c r="E2011" s="637"/>
      <c r="F2011" s="637"/>
      <c r="G2011" s="637"/>
      <c r="H2011" s="637"/>
      <c r="I2011" s="637"/>
      <c r="J2011" s="637"/>
    </row>
    <row r="2012" spans="1:10" x14ac:dyDescent="0.2">
      <c r="A2012" s="626"/>
      <c r="B2012" s="637"/>
      <c r="C2012" s="637"/>
      <c r="D2012" s="637"/>
      <c r="E2012" s="637"/>
      <c r="F2012" s="637"/>
      <c r="G2012" s="637"/>
      <c r="H2012" s="637"/>
      <c r="I2012" s="637"/>
      <c r="J2012" s="637"/>
    </row>
    <row r="2013" spans="1:10" x14ac:dyDescent="0.2">
      <c r="A2013" s="626"/>
      <c r="B2013" s="637"/>
      <c r="C2013" s="637"/>
      <c r="D2013" s="637"/>
      <c r="E2013" s="637"/>
      <c r="F2013" s="637"/>
      <c r="G2013" s="637"/>
      <c r="H2013" s="637"/>
      <c r="I2013" s="637"/>
      <c r="J2013" s="637"/>
    </row>
    <row r="2014" spans="1:10" x14ac:dyDescent="0.2">
      <c r="A2014" s="626"/>
      <c r="B2014" s="637"/>
      <c r="C2014" s="637"/>
      <c r="D2014" s="637"/>
      <c r="E2014" s="637"/>
      <c r="F2014" s="637"/>
      <c r="G2014" s="637"/>
      <c r="H2014" s="637"/>
      <c r="I2014" s="637"/>
      <c r="J2014" s="637"/>
    </row>
    <row r="2015" spans="1:10" x14ac:dyDescent="0.2">
      <c r="A2015" s="626"/>
      <c r="B2015" s="637"/>
      <c r="C2015" s="637"/>
      <c r="D2015" s="637"/>
      <c r="E2015" s="637"/>
      <c r="F2015" s="637"/>
      <c r="G2015" s="637"/>
      <c r="H2015" s="637"/>
      <c r="I2015" s="637"/>
      <c r="J2015" s="637"/>
    </row>
    <row r="2016" spans="1:10" x14ac:dyDescent="0.2">
      <c r="A2016" s="626"/>
      <c r="B2016" s="637"/>
      <c r="C2016" s="637"/>
      <c r="D2016" s="637"/>
      <c r="E2016" s="637"/>
      <c r="F2016" s="637"/>
      <c r="G2016" s="637"/>
      <c r="H2016" s="637"/>
      <c r="I2016" s="637"/>
      <c r="J2016" s="637"/>
    </row>
    <row r="2017" spans="1:10" x14ac:dyDescent="0.2">
      <c r="A2017" s="626"/>
      <c r="B2017" s="637"/>
      <c r="C2017" s="637"/>
      <c r="D2017" s="637"/>
      <c r="E2017" s="637"/>
      <c r="F2017" s="637"/>
      <c r="G2017" s="637"/>
      <c r="H2017" s="637"/>
      <c r="I2017" s="637"/>
      <c r="J2017" s="637"/>
    </row>
    <row r="2018" spans="1:10" x14ac:dyDescent="0.2">
      <c r="A2018" s="626"/>
      <c r="B2018" s="637"/>
      <c r="C2018" s="637"/>
      <c r="D2018" s="637"/>
      <c r="E2018" s="637"/>
      <c r="F2018" s="637"/>
      <c r="G2018" s="637"/>
      <c r="H2018" s="637"/>
      <c r="I2018" s="637"/>
      <c r="J2018" s="637"/>
    </row>
    <row r="2019" spans="1:10" x14ac:dyDescent="0.2">
      <c r="A2019" s="626"/>
      <c r="B2019" s="637"/>
      <c r="C2019" s="637"/>
      <c r="D2019" s="637"/>
      <c r="E2019" s="637"/>
      <c r="F2019" s="637"/>
      <c r="G2019" s="637"/>
      <c r="H2019" s="637"/>
      <c r="I2019" s="637"/>
      <c r="J2019" s="637"/>
    </row>
    <row r="2020" spans="1:10" x14ac:dyDescent="0.2">
      <c r="A2020" s="626"/>
      <c r="B2020" s="637"/>
      <c r="C2020" s="637"/>
      <c r="D2020" s="637"/>
      <c r="E2020" s="637"/>
      <c r="F2020" s="637"/>
      <c r="G2020" s="637"/>
      <c r="H2020" s="637"/>
      <c r="I2020" s="637"/>
      <c r="J2020" s="637"/>
    </row>
    <row r="2021" spans="1:10" x14ac:dyDescent="0.2">
      <c r="A2021" s="626"/>
      <c r="B2021" s="637"/>
      <c r="C2021" s="637"/>
      <c r="D2021" s="637"/>
      <c r="E2021" s="637"/>
      <c r="F2021" s="637"/>
      <c r="G2021" s="637"/>
      <c r="H2021" s="637"/>
      <c r="I2021" s="637"/>
      <c r="J2021" s="637"/>
    </row>
    <row r="2022" spans="1:10" x14ac:dyDescent="0.2">
      <c r="A2022" s="626"/>
      <c r="B2022" s="637"/>
      <c r="C2022" s="637"/>
      <c r="D2022" s="637"/>
      <c r="E2022" s="637"/>
      <c r="F2022" s="637"/>
      <c r="G2022" s="637"/>
      <c r="H2022" s="637"/>
      <c r="I2022" s="637"/>
      <c r="J2022" s="637"/>
    </row>
    <row r="2023" spans="1:10" x14ac:dyDescent="0.2">
      <c r="A2023" s="626"/>
      <c r="B2023" s="637"/>
      <c r="C2023" s="637"/>
      <c r="D2023" s="637"/>
      <c r="E2023" s="637"/>
      <c r="F2023" s="637"/>
      <c r="G2023" s="637"/>
      <c r="H2023" s="637"/>
      <c r="I2023" s="637"/>
      <c r="J2023" s="637"/>
    </row>
    <row r="2024" spans="1:10" x14ac:dyDescent="0.2">
      <c r="A2024" s="626"/>
      <c r="B2024" s="637"/>
      <c r="C2024" s="637"/>
      <c r="D2024" s="637"/>
      <c r="E2024" s="637"/>
      <c r="F2024" s="637"/>
      <c r="G2024" s="637"/>
      <c r="H2024" s="637"/>
      <c r="I2024" s="637"/>
      <c r="J2024" s="637"/>
    </row>
    <row r="2025" spans="1:10" x14ac:dyDescent="0.2">
      <c r="A2025" s="626"/>
      <c r="B2025" s="637"/>
      <c r="C2025" s="637"/>
      <c r="D2025" s="637"/>
      <c r="E2025" s="637"/>
      <c r="F2025" s="637"/>
      <c r="G2025" s="637"/>
      <c r="H2025" s="637"/>
      <c r="I2025" s="637"/>
      <c r="J2025" s="637"/>
    </row>
    <row r="2026" spans="1:10" x14ac:dyDescent="0.2">
      <c r="A2026" s="626"/>
      <c r="B2026" s="637"/>
      <c r="C2026" s="637"/>
      <c r="D2026" s="637"/>
      <c r="E2026" s="637"/>
      <c r="F2026" s="637"/>
      <c r="G2026" s="637"/>
      <c r="H2026" s="637"/>
      <c r="I2026" s="637"/>
      <c r="J2026" s="637"/>
    </row>
    <row r="2027" spans="1:10" x14ac:dyDescent="0.2">
      <c r="A2027" s="626"/>
      <c r="B2027" s="637"/>
      <c r="C2027" s="637"/>
      <c r="D2027" s="637"/>
      <c r="E2027" s="637"/>
      <c r="F2027" s="637"/>
      <c r="G2027" s="637"/>
      <c r="H2027" s="637"/>
      <c r="I2027" s="637"/>
      <c r="J2027" s="637"/>
    </row>
    <row r="2028" spans="1:10" x14ac:dyDescent="0.2">
      <c r="A2028" s="626"/>
      <c r="B2028" s="637"/>
      <c r="C2028" s="637"/>
      <c r="D2028" s="637"/>
      <c r="E2028" s="637"/>
      <c r="F2028" s="637"/>
      <c r="G2028" s="637"/>
      <c r="H2028" s="637"/>
      <c r="I2028" s="637"/>
      <c r="J2028" s="637"/>
    </row>
    <row r="2029" spans="1:10" x14ac:dyDescent="0.2">
      <c r="A2029" s="626"/>
      <c r="B2029" s="637"/>
      <c r="C2029" s="637"/>
      <c r="D2029" s="637"/>
      <c r="E2029" s="637"/>
      <c r="F2029" s="637"/>
      <c r="G2029" s="637"/>
      <c r="H2029" s="637"/>
      <c r="I2029" s="637"/>
      <c r="J2029" s="637"/>
    </row>
    <row r="2030" spans="1:10" x14ac:dyDescent="0.2">
      <c r="A2030" s="626"/>
      <c r="B2030" s="637"/>
      <c r="C2030" s="637"/>
      <c r="D2030" s="637"/>
      <c r="E2030" s="637"/>
      <c r="F2030" s="637"/>
      <c r="G2030" s="637"/>
      <c r="H2030" s="637"/>
      <c r="I2030" s="637"/>
      <c r="J2030" s="637"/>
    </row>
    <row r="2031" spans="1:10" x14ac:dyDescent="0.2">
      <c r="A2031" s="626"/>
      <c r="B2031" s="637"/>
      <c r="C2031" s="637"/>
      <c r="D2031" s="637"/>
      <c r="E2031" s="637"/>
      <c r="F2031" s="637"/>
      <c r="G2031" s="637"/>
      <c r="H2031" s="637"/>
      <c r="I2031" s="637"/>
      <c r="J2031" s="637"/>
    </row>
    <row r="2032" spans="1:10" x14ac:dyDescent="0.2">
      <c r="A2032" s="626"/>
      <c r="B2032" s="637"/>
      <c r="C2032" s="637"/>
      <c r="D2032" s="637"/>
      <c r="E2032" s="637"/>
      <c r="F2032" s="637"/>
      <c r="G2032" s="637"/>
      <c r="H2032" s="637"/>
      <c r="I2032" s="637"/>
      <c r="J2032" s="637"/>
    </row>
    <row r="2033" spans="1:10" x14ac:dyDescent="0.2">
      <c r="A2033" s="626"/>
      <c r="B2033" s="637"/>
      <c r="C2033" s="637"/>
      <c r="D2033" s="637"/>
      <c r="E2033" s="637"/>
      <c r="F2033" s="637"/>
      <c r="G2033" s="637"/>
      <c r="H2033" s="637"/>
      <c r="I2033" s="637"/>
      <c r="J2033" s="637"/>
    </row>
    <row r="2034" spans="1:10" x14ac:dyDescent="0.2">
      <c r="A2034" s="626"/>
      <c r="B2034" s="637"/>
      <c r="C2034" s="637"/>
      <c r="D2034" s="637"/>
      <c r="E2034" s="637"/>
      <c r="F2034" s="637"/>
      <c r="G2034" s="637"/>
      <c r="H2034" s="637"/>
      <c r="I2034" s="637"/>
      <c r="J2034" s="637"/>
    </row>
    <row r="2035" spans="1:10" x14ac:dyDescent="0.2">
      <c r="A2035" s="626"/>
      <c r="B2035" s="637"/>
      <c r="C2035" s="637"/>
      <c r="D2035" s="637"/>
      <c r="E2035" s="637"/>
      <c r="F2035" s="637"/>
      <c r="G2035" s="637"/>
      <c r="H2035" s="637"/>
      <c r="I2035" s="637"/>
      <c r="J2035" s="637"/>
    </row>
    <row r="2036" spans="1:10" x14ac:dyDescent="0.2">
      <c r="A2036" s="626"/>
      <c r="B2036" s="637"/>
      <c r="C2036" s="637"/>
      <c r="D2036" s="637"/>
      <c r="E2036" s="637"/>
      <c r="F2036" s="637"/>
      <c r="G2036" s="637"/>
      <c r="H2036" s="637"/>
      <c r="I2036" s="637"/>
      <c r="J2036" s="637"/>
    </row>
    <row r="2037" spans="1:10" x14ac:dyDescent="0.2">
      <c r="A2037" s="626"/>
      <c r="B2037" s="637"/>
      <c r="C2037" s="637"/>
      <c r="D2037" s="637"/>
      <c r="E2037" s="637"/>
      <c r="F2037" s="637"/>
      <c r="G2037" s="637"/>
      <c r="H2037" s="637"/>
      <c r="I2037" s="637"/>
      <c r="J2037" s="637"/>
    </row>
    <row r="2038" spans="1:10" x14ac:dyDescent="0.2">
      <c r="A2038" s="626"/>
      <c r="B2038" s="637"/>
      <c r="C2038" s="637"/>
      <c r="D2038" s="637"/>
      <c r="E2038" s="637"/>
      <c r="F2038" s="637"/>
      <c r="G2038" s="637"/>
      <c r="H2038" s="637"/>
      <c r="I2038" s="637"/>
      <c r="J2038" s="637"/>
    </row>
    <row r="2039" spans="1:10" x14ac:dyDescent="0.2">
      <c r="A2039" s="626"/>
      <c r="B2039" s="637"/>
      <c r="C2039" s="637"/>
      <c r="D2039" s="637"/>
      <c r="E2039" s="637"/>
      <c r="F2039" s="637"/>
      <c r="G2039" s="637"/>
      <c r="H2039" s="637"/>
      <c r="I2039" s="637"/>
      <c r="J2039" s="637"/>
    </row>
    <row r="2040" spans="1:10" x14ac:dyDescent="0.2">
      <c r="A2040" s="626"/>
      <c r="B2040" s="637"/>
      <c r="C2040" s="637"/>
      <c r="D2040" s="637"/>
      <c r="E2040" s="637"/>
      <c r="F2040" s="637"/>
      <c r="G2040" s="637"/>
      <c r="H2040" s="637"/>
      <c r="I2040" s="637"/>
      <c r="J2040" s="637"/>
    </row>
    <row r="2041" spans="1:10" x14ac:dyDescent="0.2">
      <c r="A2041" s="626"/>
      <c r="B2041" s="637"/>
      <c r="C2041" s="637"/>
      <c r="D2041" s="637"/>
      <c r="E2041" s="637"/>
      <c r="F2041" s="637"/>
      <c r="G2041" s="637"/>
      <c r="H2041" s="637"/>
      <c r="I2041" s="637"/>
      <c r="J2041" s="637"/>
    </row>
    <row r="2042" spans="1:10" x14ac:dyDescent="0.2">
      <c r="A2042" s="626"/>
      <c r="B2042" s="637"/>
      <c r="C2042" s="637"/>
      <c r="D2042" s="637"/>
      <c r="E2042" s="637"/>
      <c r="F2042" s="637"/>
      <c r="G2042" s="637"/>
      <c r="H2042" s="637"/>
      <c r="I2042" s="637"/>
      <c r="J2042" s="637"/>
    </row>
    <row r="2043" spans="1:10" x14ac:dyDescent="0.2">
      <c r="A2043" s="626"/>
      <c r="B2043" s="637"/>
      <c r="C2043" s="637"/>
      <c r="D2043" s="637"/>
      <c r="E2043" s="637"/>
      <c r="F2043" s="637"/>
      <c r="G2043" s="637"/>
      <c r="H2043" s="637"/>
      <c r="I2043" s="637"/>
      <c r="J2043" s="637"/>
    </row>
    <row r="2044" spans="1:10" x14ac:dyDescent="0.2">
      <c r="A2044" s="626"/>
      <c r="B2044" s="637"/>
      <c r="C2044" s="637"/>
      <c r="D2044" s="637"/>
      <c r="E2044" s="637"/>
      <c r="F2044" s="637"/>
      <c r="G2044" s="637"/>
      <c r="H2044" s="637"/>
      <c r="I2044" s="637"/>
      <c r="J2044" s="637"/>
    </row>
    <row r="2045" spans="1:10" x14ac:dyDescent="0.2">
      <c r="A2045" s="626"/>
      <c r="B2045" s="637"/>
      <c r="C2045" s="637"/>
      <c r="D2045" s="637"/>
      <c r="E2045" s="637"/>
      <c r="F2045" s="637"/>
      <c r="G2045" s="637"/>
      <c r="H2045" s="637"/>
      <c r="I2045" s="637"/>
      <c r="J2045" s="637"/>
    </row>
    <row r="2046" spans="1:10" x14ac:dyDescent="0.2">
      <c r="A2046" s="626"/>
      <c r="B2046" s="637"/>
      <c r="C2046" s="637"/>
      <c r="D2046" s="637"/>
      <c r="E2046" s="637"/>
      <c r="F2046" s="637"/>
      <c r="G2046" s="637"/>
      <c r="H2046" s="637"/>
      <c r="I2046" s="637"/>
      <c r="J2046" s="637"/>
    </row>
    <row r="2047" spans="1:10" x14ac:dyDescent="0.2">
      <c r="A2047" s="626"/>
      <c r="B2047" s="637"/>
      <c r="C2047" s="637"/>
      <c r="D2047" s="637"/>
      <c r="E2047" s="637"/>
      <c r="F2047" s="637"/>
      <c r="G2047" s="637"/>
      <c r="H2047" s="637"/>
      <c r="I2047" s="637"/>
      <c r="J2047" s="637"/>
    </row>
    <row r="2048" spans="1:10" x14ac:dyDescent="0.2">
      <c r="A2048" s="626"/>
      <c r="B2048" s="637"/>
      <c r="C2048" s="637"/>
      <c r="D2048" s="637"/>
      <c r="E2048" s="637"/>
      <c r="F2048" s="637"/>
      <c r="G2048" s="637"/>
      <c r="H2048" s="637"/>
      <c r="I2048" s="637"/>
      <c r="J2048" s="637"/>
    </row>
    <row r="2049" spans="1:10" x14ac:dyDescent="0.2">
      <c r="A2049" s="626"/>
      <c r="B2049" s="637"/>
      <c r="C2049" s="637"/>
      <c r="D2049" s="637"/>
      <c r="E2049" s="637"/>
      <c r="F2049" s="637"/>
      <c r="G2049" s="637"/>
      <c r="H2049" s="637"/>
      <c r="I2049" s="637"/>
      <c r="J2049" s="637"/>
    </row>
    <row r="2050" spans="1:10" x14ac:dyDescent="0.2">
      <c r="A2050" s="626"/>
      <c r="B2050" s="637"/>
      <c r="C2050" s="637"/>
      <c r="D2050" s="637"/>
      <c r="E2050" s="637"/>
      <c r="F2050" s="637"/>
      <c r="G2050" s="637"/>
      <c r="H2050" s="637"/>
      <c r="I2050" s="637"/>
      <c r="J2050" s="637"/>
    </row>
    <row r="2051" spans="1:10" x14ac:dyDescent="0.2">
      <c r="A2051" s="626"/>
      <c r="B2051" s="637"/>
      <c r="C2051" s="637"/>
      <c r="D2051" s="637"/>
      <c r="E2051" s="637"/>
      <c r="F2051" s="637"/>
      <c r="G2051" s="637"/>
      <c r="H2051" s="637"/>
      <c r="I2051" s="637"/>
      <c r="J2051" s="637"/>
    </row>
    <row r="2052" spans="1:10" x14ac:dyDescent="0.2">
      <c r="A2052" s="626"/>
      <c r="B2052" s="637"/>
      <c r="C2052" s="637"/>
      <c r="D2052" s="637"/>
      <c r="E2052" s="637"/>
      <c r="F2052" s="637"/>
      <c r="G2052" s="637"/>
      <c r="H2052" s="637"/>
      <c r="I2052" s="637"/>
      <c r="J2052" s="637"/>
    </row>
    <row r="2053" spans="1:10" x14ac:dyDescent="0.2">
      <c r="A2053" s="626"/>
      <c r="B2053" s="637"/>
      <c r="C2053" s="637"/>
      <c r="D2053" s="637"/>
      <c r="E2053" s="637"/>
      <c r="F2053" s="637"/>
      <c r="G2053" s="637"/>
      <c r="H2053" s="637"/>
      <c r="I2053" s="637"/>
      <c r="J2053" s="637"/>
    </row>
    <row r="2054" spans="1:10" x14ac:dyDescent="0.2">
      <c r="A2054" s="626"/>
      <c r="B2054" s="637"/>
      <c r="C2054" s="637"/>
      <c r="D2054" s="637"/>
      <c r="E2054" s="637"/>
      <c r="F2054" s="637"/>
      <c r="G2054" s="637"/>
      <c r="H2054" s="637"/>
      <c r="I2054" s="637"/>
      <c r="J2054" s="637"/>
    </row>
    <row r="2055" spans="1:10" x14ac:dyDescent="0.2">
      <c r="A2055" s="626"/>
      <c r="B2055" s="637"/>
      <c r="C2055" s="637"/>
      <c r="D2055" s="637"/>
      <c r="E2055" s="637"/>
      <c r="F2055" s="637"/>
      <c r="G2055" s="637"/>
      <c r="H2055" s="637"/>
      <c r="I2055" s="637"/>
      <c r="J2055" s="637"/>
    </row>
    <row r="2056" spans="1:10" x14ac:dyDescent="0.2">
      <c r="A2056" s="626"/>
      <c r="B2056" s="637"/>
      <c r="C2056" s="637"/>
      <c r="D2056" s="637"/>
      <c r="E2056" s="637"/>
      <c r="F2056" s="637"/>
      <c r="G2056" s="637"/>
      <c r="H2056" s="637"/>
      <c r="I2056" s="637"/>
      <c r="J2056" s="637"/>
    </row>
    <row r="2057" spans="1:10" x14ac:dyDescent="0.2">
      <c r="A2057" s="626"/>
      <c r="B2057" s="637"/>
      <c r="C2057" s="637"/>
      <c r="D2057" s="637"/>
      <c r="E2057" s="637"/>
      <c r="F2057" s="637"/>
      <c r="G2057" s="637"/>
      <c r="H2057" s="637"/>
      <c r="I2057" s="637"/>
      <c r="J2057" s="637"/>
    </row>
    <row r="2058" spans="1:10" x14ac:dyDescent="0.2">
      <c r="A2058" s="626"/>
      <c r="B2058" s="637"/>
      <c r="C2058" s="637"/>
      <c r="D2058" s="637"/>
      <c r="E2058" s="637"/>
      <c r="F2058" s="637"/>
      <c r="G2058" s="637"/>
      <c r="H2058" s="637"/>
      <c r="I2058" s="637"/>
      <c r="J2058" s="637"/>
    </row>
    <row r="2059" spans="1:10" x14ac:dyDescent="0.2">
      <c r="A2059" s="626"/>
      <c r="B2059" s="637"/>
      <c r="C2059" s="637"/>
      <c r="D2059" s="637"/>
      <c r="E2059" s="637"/>
      <c r="F2059" s="637"/>
      <c r="G2059" s="637"/>
      <c r="H2059" s="637"/>
      <c r="I2059" s="637"/>
      <c r="J2059" s="637"/>
    </row>
    <row r="2060" spans="1:10" x14ac:dyDescent="0.2">
      <c r="A2060" s="626"/>
      <c r="B2060" s="637"/>
      <c r="C2060" s="637"/>
      <c r="D2060" s="637"/>
      <c r="E2060" s="637"/>
      <c r="F2060" s="637"/>
      <c r="G2060" s="637"/>
      <c r="H2060" s="637"/>
      <c r="I2060" s="637"/>
      <c r="J2060" s="637"/>
    </row>
    <row r="2061" spans="1:10" x14ac:dyDescent="0.2">
      <c r="A2061" s="626"/>
      <c r="B2061" s="637"/>
      <c r="C2061" s="637"/>
      <c r="D2061" s="637"/>
      <c r="E2061" s="637"/>
      <c r="F2061" s="637"/>
      <c r="G2061" s="637"/>
      <c r="H2061" s="637"/>
      <c r="I2061" s="637"/>
      <c r="J2061" s="637"/>
    </row>
    <row r="2062" spans="1:10" x14ac:dyDescent="0.2">
      <c r="A2062" s="626"/>
      <c r="B2062" s="637"/>
      <c r="C2062" s="637"/>
      <c r="D2062" s="637"/>
      <c r="E2062" s="637"/>
      <c r="F2062" s="637"/>
      <c r="G2062" s="637"/>
      <c r="H2062" s="637"/>
      <c r="I2062" s="637"/>
      <c r="J2062" s="637"/>
    </row>
    <row r="2063" spans="1:10" x14ac:dyDescent="0.2">
      <c r="A2063" s="626"/>
      <c r="B2063" s="637"/>
      <c r="C2063" s="637"/>
      <c r="D2063" s="637"/>
      <c r="E2063" s="637"/>
      <c r="F2063" s="637"/>
      <c r="G2063" s="637"/>
      <c r="H2063" s="637"/>
      <c r="I2063" s="637"/>
      <c r="J2063" s="637"/>
    </row>
    <row r="2064" spans="1:10" x14ac:dyDescent="0.2">
      <c r="A2064" s="626"/>
      <c r="B2064" s="637"/>
      <c r="C2064" s="637"/>
      <c r="D2064" s="637"/>
      <c r="E2064" s="637"/>
      <c r="F2064" s="637"/>
      <c r="G2064" s="637"/>
      <c r="H2064" s="637"/>
      <c r="I2064" s="637"/>
      <c r="J2064" s="637"/>
    </row>
    <row r="2065" spans="1:10" x14ac:dyDescent="0.2">
      <c r="A2065" s="626"/>
      <c r="B2065" s="637"/>
      <c r="C2065" s="637"/>
      <c r="D2065" s="637"/>
      <c r="E2065" s="637"/>
      <c r="F2065" s="637"/>
      <c r="G2065" s="637"/>
      <c r="H2065" s="637"/>
      <c r="I2065" s="637"/>
      <c r="J2065" s="637"/>
    </row>
    <row r="2066" spans="1:10" x14ac:dyDescent="0.2">
      <c r="A2066" s="626"/>
      <c r="B2066" s="637"/>
      <c r="C2066" s="637"/>
      <c r="D2066" s="637"/>
      <c r="E2066" s="637"/>
      <c r="F2066" s="637"/>
      <c r="G2066" s="637"/>
      <c r="H2066" s="637"/>
      <c r="I2066" s="637"/>
      <c r="J2066" s="637"/>
    </row>
    <row r="2067" spans="1:10" x14ac:dyDescent="0.2">
      <c r="A2067" s="626"/>
      <c r="B2067" s="637"/>
      <c r="C2067" s="637"/>
      <c r="D2067" s="637"/>
      <c r="E2067" s="637"/>
      <c r="F2067" s="637"/>
      <c r="G2067" s="637"/>
      <c r="H2067" s="637"/>
      <c r="I2067" s="637"/>
      <c r="J2067" s="637"/>
    </row>
    <row r="2068" spans="1:10" x14ac:dyDescent="0.2">
      <c r="A2068" s="626"/>
      <c r="B2068" s="637"/>
      <c r="C2068" s="637"/>
      <c r="D2068" s="637"/>
      <c r="E2068" s="637"/>
      <c r="F2068" s="637"/>
      <c r="G2068" s="637"/>
      <c r="H2068" s="637"/>
      <c r="I2068" s="637"/>
      <c r="J2068" s="637"/>
    </row>
    <row r="2069" spans="1:10" x14ac:dyDescent="0.2">
      <c r="A2069" s="626"/>
      <c r="B2069" s="637"/>
      <c r="C2069" s="637"/>
      <c r="D2069" s="637"/>
      <c r="E2069" s="637"/>
      <c r="F2069" s="637"/>
      <c r="G2069" s="637"/>
      <c r="H2069" s="637"/>
      <c r="I2069" s="637"/>
      <c r="J2069" s="637"/>
    </row>
    <row r="2070" spans="1:10" x14ac:dyDescent="0.2">
      <c r="A2070" s="626"/>
      <c r="B2070" s="637"/>
      <c r="C2070" s="637"/>
      <c r="D2070" s="637"/>
      <c r="E2070" s="637"/>
      <c r="F2070" s="637"/>
      <c r="G2070" s="637"/>
      <c r="H2070" s="637"/>
      <c r="I2070" s="637"/>
      <c r="J2070" s="637"/>
    </row>
    <row r="2071" spans="1:10" x14ac:dyDescent="0.2">
      <c r="A2071" s="626"/>
      <c r="B2071" s="637"/>
      <c r="C2071" s="637"/>
      <c r="D2071" s="637"/>
      <c r="E2071" s="637"/>
      <c r="F2071" s="637"/>
      <c r="G2071" s="637"/>
      <c r="H2071" s="637"/>
      <c r="I2071" s="637"/>
      <c r="J2071" s="637"/>
    </row>
    <row r="2072" spans="1:10" x14ac:dyDescent="0.2">
      <c r="A2072" s="626"/>
      <c r="B2072" s="637"/>
      <c r="C2072" s="637"/>
      <c r="D2072" s="637"/>
      <c r="E2072" s="637"/>
      <c r="F2072" s="637"/>
      <c r="G2072" s="637"/>
      <c r="H2072" s="637"/>
      <c r="I2072" s="637"/>
      <c r="J2072" s="637"/>
    </row>
    <row r="2073" spans="1:10" x14ac:dyDescent="0.2">
      <c r="A2073" s="626"/>
      <c r="B2073" s="637"/>
      <c r="C2073" s="637"/>
      <c r="D2073" s="637"/>
      <c r="E2073" s="637"/>
      <c r="F2073" s="637"/>
      <c r="G2073" s="637"/>
      <c r="H2073" s="637"/>
      <c r="I2073" s="637"/>
      <c r="J2073" s="637"/>
    </row>
    <row r="2074" spans="1:10" x14ac:dyDescent="0.2">
      <c r="A2074" s="626"/>
      <c r="B2074" s="637"/>
      <c r="C2074" s="637"/>
      <c r="D2074" s="637"/>
      <c r="E2074" s="637"/>
      <c r="F2074" s="637"/>
      <c r="G2074" s="637"/>
      <c r="H2074" s="637"/>
      <c r="I2074" s="637"/>
      <c r="J2074" s="637"/>
    </row>
    <row r="2075" spans="1:10" x14ac:dyDescent="0.2">
      <c r="A2075" s="626"/>
      <c r="B2075" s="637"/>
      <c r="C2075" s="637"/>
      <c r="D2075" s="637"/>
      <c r="E2075" s="637"/>
      <c r="F2075" s="637"/>
      <c r="G2075" s="637"/>
      <c r="H2075" s="637"/>
      <c r="I2075" s="637"/>
      <c r="J2075" s="637"/>
    </row>
    <row r="2076" spans="1:10" x14ac:dyDescent="0.2">
      <c r="A2076" s="626"/>
      <c r="B2076" s="637"/>
      <c r="C2076" s="637"/>
      <c r="D2076" s="637"/>
      <c r="E2076" s="637"/>
      <c r="F2076" s="637"/>
      <c r="G2076" s="637"/>
      <c r="H2076" s="637"/>
      <c r="I2076" s="637"/>
      <c r="J2076" s="637"/>
    </row>
    <row r="2077" spans="1:10" x14ac:dyDescent="0.2">
      <c r="A2077" s="626"/>
      <c r="B2077" s="637"/>
      <c r="C2077" s="637"/>
      <c r="D2077" s="637"/>
      <c r="E2077" s="637"/>
      <c r="F2077" s="637"/>
      <c r="G2077" s="637"/>
      <c r="H2077" s="637"/>
      <c r="I2077" s="637"/>
      <c r="J2077" s="637"/>
    </row>
    <row r="2078" spans="1:10" x14ac:dyDescent="0.2">
      <c r="A2078" s="626"/>
      <c r="B2078" s="637"/>
      <c r="C2078" s="637"/>
      <c r="D2078" s="637"/>
      <c r="E2078" s="637"/>
      <c r="F2078" s="637"/>
      <c r="G2078" s="637"/>
      <c r="H2078" s="637"/>
      <c r="I2078" s="637"/>
      <c r="J2078" s="637"/>
    </row>
    <row r="2079" spans="1:10" x14ac:dyDescent="0.2">
      <c r="A2079" s="626"/>
      <c r="B2079" s="637"/>
      <c r="C2079" s="637"/>
      <c r="D2079" s="637"/>
      <c r="E2079" s="637"/>
      <c r="F2079" s="637"/>
      <c r="G2079" s="637"/>
      <c r="H2079" s="637"/>
      <c r="I2079" s="637"/>
      <c r="J2079" s="637"/>
    </row>
    <row r="2080" spans="1:10" x14ac:dyDescent="0.2">
      <c r="A2080" s="626"/>
      <c r="B2080" s="637"/>
      <c r="C2080" s="637"/>
      <c r="D2080" s="637"/>
      <c r="E2080" s="637"/>
      <c r="F2080" s="637"/>
      <c r="G2080" s="637"/>
      <c r="H2080" s="637"/>
      <c r="I2080" s="637"/>
      <c r="J2080" s="637"/>
    </row>
    <row r="2081" spans="1:10" x14ac:dyDescent="0.2">
      <c r="A2081" s="626"/>
      <c r="B2081" s="637"/>
      <c r="C2081" s="637"/>
      <c r="D2081" s="637"/>
      <c r="E2081" s="637"/>
      <c r="F2081" s="637"/>
      <c r="G2081" s="637"/>
      <c r="H2081" s="637"/>
      <c r="I2081" s="637"/>
      <c r="J2081" s="637"/>
    </row>
    <row r="2082" spans="1:10" x14ac:dyDescent="0.2">
      <c r="A2082" s="626"/>
      <c r="B2082" s="637"/>
      <c r="C2082" s="637"/>
      <c r="D2082" s="637"/>
      <c r="E2082" s="637"/>
      <c r="F2082" s="637"/>
      <c r="G2082" s="637"/>
      <c r="H2082" s="637"/>
      <c r="I2082" s="637"/>
      <c r="J2082" s="637"/>
    </row>
    <row r="2083" spans="1:10" x14ac:dyDescent="0.2">
      <c r="A2083" s="626"/>
      <c r="B2083" s="637"/>
      <c r="C2083" s="637"/>
      <c r="D2083" s="637"/>
      <c r="E2083" s="637"/>
      <c r="F2083" s="637"/>
      <c r="G2083" s="637"/>
      <c r="H2083" s="637"/>
      <c r="I2083" s="637"/>
      <c r="J2083" s="637"/>
    </row>
    <row r="2084" spans="1:10" x14ac:dyDescent="0.2">
      <c r="A2084" s="626"/>
      <c r="B2084" s="637"/>
      <c r="C2084" s="637"/>
      <c r="D2084" s="637"/>
      <c r="E2084" s="637"/>
      <c r="F2084" s="637"/>
      <c r="G2084" s="637"/>
      <c r="H2084" s="637"/>
      <c r="I2084" s="637"/>
      <c r="J2084" s="637"/>
    </row>
    <row r="2085" spans="1:10" x14ac:dyDescent="0.2">
      <c r="A2085" s="626"/>
      <c r="B2085" s="637"/>
      <c r="C2085" s="637"/>
      <c r="D2085" s="637"/>
      <c r="E2085" s="637"/>
      <c r="F2085" s="637"/>
      <c r="G2085" s="637"/>
      <c r="H2085" s="637"/>
      <c r="I2085" s="637"/>
      <c r="J2085" s="637"/>
    </row>
    <row r="2086" spans="1:10" x14ac:dyDescent="0.2">
      <c r="A2086" s="626"/>
      <c r="B2086" s="637"/>
      <c r="C2086" s="637"/>
      <c r="D2086" s="637"/>
      <c r="E2086" s="637"/>
      <c r="F2086" s="637"/>
      <c r="G2086" s="637"/>
      <c r="H2086" s="637"/>
      <c r="I2086" s="637"/>
      <c r="J2086" s="637"/>
    </row>
    <row r="2087" spans="1:10" x14ac:dyDescent="0.2">
      <c r="A2087" s="626"/>
      <c r="B2087" s="637"/>
      <c r="C2087" s="637"/>
      <c r="D2087" s="637"/>
      <c r="E2087" s="637"/>
      <c r="F2087" s="637"/>
      <c r="G2087" s="637"/>
      <c r="H2087" s="637"/>
      <c r="I2087" s="637"/>
      <c r="J2087" s="637"/>
    </row>
    <row r="2088" spans="1:10" x14ac:dyDescent="0.2">
      <c r="A2088" s="626"/>
      <c r="B2088" s="637"/>
      <c r="C2088" s="637"/>
      <c r="D2088" s="637"/>
      <c r="E2088" s="637"/>
      <c r="F2088" s="637"/>
      <c r="G2088" s="637"/>
      <c r="H2088" s="637"/>
      <c r="I2088" s="637"/>
      <c r="J2088" s="637"/>
    </row>
    <row r="2089" spans="1:10" x14ac:dyDescent="0.2">
      <c r="A2089" s="626"/>
      <c r="B2089" s="637"/>
      <c r="C2089" s="637"/>
      <c r="D2089" s="637"/>
      <c r="E2089" s="637"/>
      <c r="F2089" s="637"/>
      <c r="G2089" s="637"/>
      <c r="H2089" s="637"/>
      <c r="I2089" s="637"/>
      <c r="J2089" s="637"/>
    </row>
    <row r="2090" spans="1:10" x14ac:dyDescent="0.2">
      <c r="A2090" s="626"/>
      <c r="B2090" s="637"/>
      <c r="C2090" s="637"/>
      <c r="D2090" s="637"/>
      <c r="E2090" s="637"/>
      <c r="F2090" s="637"/>
      <c r="G2090" s="637"/>
      <c r="H2090" s="637"/>
      <c r="I2090" s="637"/>
      <c r="J2090" s="637"/>
    </row>
    <row r="2091" spans="1:10" x14ac:dyDescent="0.2">
      <c r="A2091" s="626"/>
      <c r="B2091" s="637"/>
      <c r="C2091" s="637"/>
      <c r="D2091" s="637"/>
      <c r="E2091" s="637"/>
      <c r="F2091" s="637"/>
      <c r="G2091" s="637"/>
      <c r="H2091" s="637"/>
      <c r="I2091" s="637"/>
      <c r="J2091" s="637"/>
    </row>
    <row r="2092" spans="1:10" x14ac:dyDescent="0.2">
      <c r="A2092" s="626"/>
      <c r="B2092" s="637"/>
      <c r="C2092" s="637"/>
      <c r="D2092" s="637"/>
      <c r="E2092" s="637"/>
      <c r="F2092" s="637"/>
      <c r="G2092" s="637"/>
      <c r="H2092" s="637"/>
      <c r="I2092" s="637"/>
      <c r="J2092" s="637"/>
    </row>
    <row r="2093" spans="1:10" x14ac:dyDescent="0.2">
      <c r="A2093" s="626"/>
      <c r="B2093" s="637"/>
      <c r="C2093" s="637"/>
      <c r="D2093" s="637"/>
      <c r="E2093" s="637"/>
      <c r="F2093" s="637"/>
      <c r="G2093" s="637"/>
      <c r="H2093" s="637"/>
      <c r="I2093" s="637"/>
      <c r="J2093" s="637"/>
    </row>
    <row r="2094" spans="1:10" x14ac:dyDescent="0.2">
      <c r="A2094" s="626"/>
      <c r="B2094" s="637"/>
      <c r="C2094" s="637"/>
      <c r="D2094" s="637"/>
      <c r="E2094" s="637"/>
      <c r="F2094" s="637"/>
      <c r="G2094" s="637"/>
      <c r="H2094" s="637"/>
      <c r="I2094" s="637"/>
      <c r="J2094" s="637"/>
    </row>
    <row r="2095" spans="1:10" x14ac:dyDescent="0.2">
      <c r="A2095" s="626"/>
      <c r="B2095" s="637"/>
      <c r="C2095" s="637"/>
      <c r="D2095" s="637"/>
      <c r="E2095" s="637"/>
      <c r="F2095" s="637"/>
      <c r="G2095" s="637"/>
      <c r="H2095" s="637"/>
      <c r="I2095" s="637"/>
      <c r="J2095" s="637"/>
    </row>
    <row r="2096" spans="1:10" x14ac:dyDescent="0.2">
      <c r="A2096" s="626"/>
      <c r="B2096" s="637"/>
      <c r="C2096" s="637"/>
      <c r="D2096" s="637"/>
      <c r="E2096" s="637"/>
      <c r="F2096" s="637"/>
      <c r="G2096" s="637"/>
      <c r="H2096" s="637"/>
      <c r="I2096" s="637"/>
      <c r="J2096" s="637"/>
    </row>
    <row r="2097" spans="1:10" x14ac:dyDescent="0.2">
      <c r="A2097" s="626"/>
      <c r="B2097" s="637"/>
      <c r="C2097" s="637"/>
      <c r="D2097" s="637"/>
      <c r="E2097" s="637"/>
      <c r="F2097" s="637"/>
      <c r="G2097" s="637"/>
      <c r="H2097" s="637"/>
      <c r="I2097" s="637"/>
      <c r="J2097" s="637"/>
    </row>
    <row r="2098" spans="1:10" x14ac:dyDescent="0.2">
      <c r="A2098" s="626"/>
      <c r="B2098" s="637"/>
      <c r="C2098" s="637"/>
      <c r="D2098" s="637"/>
      <c r="E2098" s="637"/>
      <c r="F2098" s="637"/>
      <c r="G2098" s="637"/>
      <c r="H2098" s="637"/>
      <c r="I2098" s="637"/>
      <c r="J2098" s="637"/>
    </row>
    <row r="2099" spans="1:10" x14ac:dyDescent="0.2">
      <c r="A2099" s="626"/>
      <c r="B2099" s="637"/>
      <c r="C2099" s="637"/>
      <c r="D2099" s="637"/>
      <c r="E2099" s="637"/>
      <c r="F2099" s="637"/>
      <c r="G2099" s="637"/>
      <c r="H2099" s="637"/>
      <c r="I2099" s="637"/>
      <c r="J2099" s="637"/>
    </row>
    <row r="2100" spans="1:10" x14ac:dyDescent="0.2">
      <c r="A2100" s="626"/>
      <c r="B2100" s="637"/>
      <c r="C2100" s="637"/>
      <c r="D2100" s="637"/>
      <c r="E2100" s="637"/>
      <c r="F2100" s="637"/>
      <c r="G2100" s="637"/>
      <c r="H2100" s="637"/>
      <c r="I2100" s="637"/>
      <c r="J2100" s="637"/>
    </row>
    <row r="2101" spans="1:10" x14ac:dyDescent="0.2">
      <c r="A2101" s="626"/>
      <c r="B2101" s="637"/>
      <c r="C2101" s="637"/>
      <c r="D2101" s="637"/>
      <c r="E2101" s="637"/>
      <c r="F2101" s="637"/>
      <c r="G2101" s="637"/>
      <c r="H2101" s="637"/>
      <c r="I2101" s="637"/>
      <c r="J2101" s="637"/>
    </row>
    <row r="2102" spans="1:10" x14ac:dyDescent="0.2">
      <c r="A2102" s="626"/>
      <c r="B2102" s="637"/>
      <c r="C2102" s="637"/>
      <c r="D2102" s="637"/>
      <c r="E2102" s="637"/>
      <c r="F2102" s="637"/>
      <c r="G2102" s="637"/>
      <c r="H2102" s="637"/>
      <c r="I2102" s="637"/>
      <c r="J2102" s="637"/>
    </row>
    <row r="2103" spans="1:10" x14ac:dyDescent="0.2">
      <c r="A2103" s="626"/>
      <c r="B2103" s="637"/>
      <c r="C2103" s="637"/>
      <c r="D2103" s="637"/>
      <c r="E2103" s="637"/>
      <c r="F2103" s="637"/>
      <c r="G2103" s="637"/>
      <c r="H2103" s="637"/>
      <c r="I2103" s="637"/>
      <c r="J2103" s="637"/>
    </row>
    <row r="2104" spans="1:10" x14ac:dyDescent="0.2">
      <c r="A2104" s="626"/>
      <c r="B2104" s="637"/>
      <c r="C2104" s="637"/>
      <c r="D2104" s="637"/>
      <c r="E2104" s="637"/>
      <c r="F2104" s="637"/>
      <c r="G2104" s="637"/>
      <c r="H2104" s="637"/>
      <c r="I2104" s="637"/>
      <c r="J2104" s="637"/>
    </row>
    <row r="2105" spans="1:10" x14ac:dyDescent="0.2">
      <c r="A2105" s="626"/>
      <c r="B2105" s="637"/>
      <c r="C2105" s="637"/>
      <c r="D2105" s="637"/>
      <c r="E2105" s="637"/>
      <c r="F2105" s="637"/>
      <c r="G2105" s="637"/>
      <c r="H2105" s="637"/>
      <c r="I2105" s="637"/>
      <c r="J2105" s="637"/>
    </row>
    <row r="2106" spans="1:10" x14ac:dyDescent="0.2">
      <c r="A2106" s="626"/>
      <c r="B2106" s="637"/>
      <c r="C2106" s="637"/>
      <c r="D2106" s="637"/>
      <c r="E2106" s="637"/>
      <c r="F2106" s="637"/>
      <c r="G2106" s="637"/>
      <c r="H2106" s="637"/>
      <c r="I2106" s="637"/>
      <c r="J2106" s="637"/>
    </row>
    <row r="2107" spans="1:10" x14ac:dyDescent="0.2">
      <c r="A2107" s="626"/>
      <c r="B2107" s="637"/>
      <c r="C2107" s="637"/>
      <c r="D2107" s="637"/>
      <c r="E2107" s="637"/>
      <c r="F2107" s="637"/>
      <c r="G2107" s="637"/>
      <c r="H2107" s="637"/>
      <c r="I2107" s="637"/>
      <c r="J2107" s="637"/>
    </row>
    <row r="2108" spans="1:10" x14ac:dyDescent="0.2">
      <c r="A2108" s="626"/>
      <c r="B2108" s="637"/>
      <c r="C2108" s="637"/>
      <c r="D2108" s="637"/>
      <c r="E2108" s="637"/>
      <c r="F2108" s="637"/>
      <c r="G2108" s="637"/>
      <c r="H2108" s="637"/>
      <c r="I2108" s="637"/>
      <c r="J2108" s="637"/>
    </row>
    <row r="2109" spans="1:10" x14ac:dyDescent="0.2">
      <c r="A2109" s="626"/>
      <c r="B2109" s="637"/>
      <c r="C2109" s="637"/>
      <c r="D2109" s="637"/>
      <c r="E2109" s="637"/>
      <c r="F2109" s="637"/>
      <c r="G2109" s="637"/>
      <c r="H2109" s="637"/>
      <c r="I2109" s="637"/>
      <c r="J2109" s="637"/>
    </row>
    <row r="2110" spans="1:10" x14ac:dyDescent="0.2">
      <c r="A2110" s="626"/>
      <c r="B2110" s="637"/>
      <c r="C2110" s="637"/>
      <c r="D2110" s="637"/>
      <c r="E2110" s="637"/>
      <c r="F2110" s="637"/>
      <c r="G2110" s="637"/>
      <c r="H2110" s="637"/>
      <c r="I2110" s="637"/>
      <c r="J2110" s="637"/>
    </row>
    <row r="2111" spans="1:10" x14ac:dyDescent="0.2">
      <c r="A2111" s="626"/>
      <c r="B2111" s="637"/>
      <c r="C2111" s="637"/>
      <c r="D2111" s="637"/>
      <c r="E2111" s="637"/>
      <c r="F2111" s="637"/>
      <c r="G2111" s="637"/>
      <c r="H2111" s="637"/>
      <c r="I2111" s="637"/>
      <c r="J2111" s="637"/>
    </row>
    <row r="2112" spans="1:10" x14ac:dyDescent="0.2">
      <c r="A2112" s="626"/>
      <c r="B2112" s="637"/>
      <c r="C2112" s="637"/>
      <c r="D2112" s="637"/>
      <c r="E2112" s="637"/>
      <c r="F2112" s="637"/>
      <c r="G2112" s="637"/>
      <c r="H2112" s="637"/>
      <c r="I2112" s="637"/>
      <c r="J2112" s="637"/>
    </row>
    <row r="2113" spans="1:10" x14ac:dyDescent="0.2">
      <c r="A2113" s="626"/>
      <c r="B2113" s="637"/>
      <c r="C2113" s="637"/>
      <c r="D2113" s="637"/>
      <c r="E2113" s="637"/>
      <c r="F2113" s="637"/>
      <c r="G2113" s="637"/>
      <c r="H2113" s="637"/>
      <c r="I2113" s="637"/>
      <c r="J2113" s="637"/>
    </row>
    <row r="2114" spans="1:10" x14ac:dyDescent="0.2">
      <c r="A2114" s="626"/>
      <c r="B2114" s="637"/>
      <c r="C2114" s="637"/>
      <c r="D2114" s="637"/>
      <c r="E2114" s="637"/>
      <c r="F2114" s="637"/>
      <c r="G2114" s="637"/>
      <c r="H2114" s="637"/>
      <c r="I2114" s="637"/>
      <c r="J2114" s="637"/>
    </row>
    <row r="2115" spans="1:10" x14ac:dyDescent="0.2">
      <c r="A2115" s="626"/>
      <c r="B2115" s="637"/>
      <c r="C2115" s="637"/>
      <c r="D2115" s="637"/>
      <c r="E2115" s="637"/>
      <c r="F2115" s="637"/>
      <c r="G2115" s="637"/>
      <c r="H2115" s="637"/>
      <c r="I2115" s="637"/>
      <c r="J2115" s="637"/>
    </row>
    <row r="2116" spans="1:10" x14ac:dyDescent="0.2">
      <c r="A2116" s="626"/>
      <c r="B2116" s="637"/>
      <c r="C2116" s="637"/>
      <c r="D2116" s="637"/>
      <c r="E2116" s="637"/>
      <c r="F2116" s="637"/>
      <c r="G2116" s="637"/>
      <c r="H2116" s="637"/>
      <c r="I2116" s="637"/>
      <c r="J2116" s="637"/>
    </row>
    <row r="2117" spans="1:10" x14ac:dyDescent="0.2">
      <c r="A2117" s="626"/>
      <c r="B2117" s="637"/>
      <c r="C2117" s="637"/>
      <c r="D2117" s="637"/>
      <c r="E2117" s="637"/>
      <c r="F2117" s="637"/>
      <c r="G2117" s="637"/>
      <c r="H2117" s="637"/>
      <c r="I2117" s="637"/>
      <c r="J2117" s="637"/>
    </row>
    <row r="2118" spans="1:10" x14ac:dyDescent="0.2">
      <c r="A2118" s="626"/>
      <c r="B2118" s="637"/>
      <c r="C2118" s="637"/>
      <c r="D2118" s="637"/>
      <c r="E2118" s="637"/>
      <c r="F2118" s="637"/>
      <c r="G2118" s="637"/>
      <c r="H2118" s="637"/>
      <c r="I2118" s="637"/>
      <c r="J2118" s="637"/>
    </row>
    <row r="2119" spans="1:10" x14ac:dyDescent="0.2">
      <c r="A2119" s="626"/>
      <c r="B2119" s="637"/>
      <c r="C2119" s="637"/>
      <c r="D2119" s="637"/>
      <c r="E2119" s="637"/>
      <c r="F2119" s="637"/>
      <c r="G2119" s="637"/>
      <c r="H2119" s="637"/>
      <c r="I2119" s="637"/>
      <c r="J2119" s="637"/>
    </row>
    <row r="2120" spans="1:10" x14ac:dyDescent="0.2">
      <c r="A2120" s="626"/>
      <c r="B2120" s="637"/>
      <c r="C2120" s="637"/>
      <c r="D2120" s="637"/>
      <c r="E2120" s="637"/>
      <c r="F2120" s="637"/>
      <c r="G2120" s="637"/>
      <c r="H2120" s="637"/>
      <c r="I2120" s="637"/>
      <c r="J2120" s="637"/>
    </row>
    <row r="2121" spans="1:10" x14ac:dyDescent="0.2">
      <c r="A2121" s="626"/>
      <c r="B2121" s="637"/>
      <c r="C2121" s="637"/>
      <c r="D2121" s="637"/>
      <c r="E2121" s="637"/>
      <c r="F2121" s="637"/>
      <c r="G2121" s="637"/>
      <c r="H2121" s="637"/>
      <c r="I2121" s="637"/>
      <c r="J2121" s="637"/>
    </row>
    <row r="2122" spans="1:10" x14ac:dyDescent="0.2">
      <c r="A2122" s="626"/>
      <c r="B2122" s="637"/>
      <c r="C2122" s="637"/>
      <c r="D2122" s="637"/>
      <c r="E2122" s="637"/>
      <c r="F2122" s="637"/>
      <c r="G2122" s="637"/>
      <c r="H2122" s="637"/>
      <c r="I2122" s="637"/>
      <c r="J2122" s="637"/>
    </row>
    <row r="2123" spans="1:10" x14ac:dyDescent="0.2">
      <c r="A2123" s="626"/>
      <c r="B2123" s="637"/>
      <c r="C2123" s="637"/>
      <c r="D2123" s="637"/>
      <c r="E2123" s="637"/>
      <c r="F2123" s="637"/>
      <c r="G2123" s="637"/>
      <c r="H2123" s="637"/>
      <c r="I2123" s="637"/>
      <c r="J2123" s="637"/>
    </row>
    <row r="2124" spans="1:10" x14ac:dyDescent="0.2">
      <c r="A2124" s="626"/>
      <c r="B2124" s="637"/>
      <c r="C2124" s="637"/>
      <c r="D2124" s="637"/>
      <c r="E2124" s="637"/>
      <c r="F2124" s="637"/>
      <c r="G2124" s="637"/>
      <c r="H2124" s="637"/>
      <c r="I2124" s="637"/>
      <c r="J2124" s="637"/>
    </row>
    <row r="2125" spans="1:10" x14ac:dyDescent="0.2">
      <c r="A2125" s="626"/>
      <c r="B2125" s="637"/>
      <c r="C2125" s="637"/>
      <c r="D2125" s="637"/>
      <c r="E2125" s="637"/>
      <c r="F2125" s="637"/>
      <c r="G2125" s="637"/>
      <c r="H2125" s="637"/>
      <c r="I2125" s="637"/>
      <c r="J2125" s="637"/>
    </row>
    <row r="2126" spans="1:10" x14ac:dyDescent="0.2">
      <c r="A2126" s="626"/>
      <c r="B2126" s="637"/>
      <c r="C2126" s="637"/>
      <c r="D2126" s="637"/>
      <c r="E2126" s="637"/>
      <c r="F2126" s="637"/>
      <c r="G2126" s="637"/>
      <c r="H2126" s="637"/>
      <c r="I2126" s="637"/>
      <c r="J2126" s="637"/>
    </row>
    <row r="2127" spans="1:10" x14ac:dyDescent="0.2">
      <c r="A2127" s="626"/>
      <c r="B2127" s="637"/>
      <c r="C2127" s="637"/>
      <c r="D2127" s="637"/>
      <c r="E2127" s="637"/>
      <c r="F2127" s="637"/>
      <c r="G2127" s="637"/>
      <c r="H2127" s="637"/>
      <c r="I2127" s="637"/>
      <c r="J2127" s="637"/>
    </row>
    <row r="2128" spans="1:10" x14ac:dyDescent="0.2">
      <c r="A2128" s="626"/>
      <c r="B2128" s="637"/>
      <c r="C2128" s="637"/>
      <c r="D2128" s="637"/>
      <c r="E2128" s="637"/>
      <c r="F2128" s="637"/>
      <c r="G2128" s="637"/>
      <c r="H2128" s="637"/>
      <c r="I2128" s="637"/>
      <c r="J2128" s="637"/>
    </row>
    <row r="2129" spans="1:10" x14ac:dyDescent="0.2">
      <c r="A2129" s="626"/>
      <c r="B2129" s="637"/>
      <c r="C2129" s="637"/>
      <c r="D2129" s="637"/>
      <c r="E2129" s="637"/>
      <c r="F2129" s="637"/>
      <c r="G2129" s="637"/>
      <c r="H2129" s="637"/>
      <c r="I2129" s="637"/>
      <c r="J2129" s="637"/>
    </row>
    <row r="2130" spans="1:10" x14ac:dyDescent="0.2">
      <c r="A2130" s="626"/>
      <c r="B2130" s="637"/>
      <c r="C2130" s="637"/>
      <c r="D2130" s="637"/>
      <c r="E2130" s="637"/>
      <c r="F2130" s="637"/>
      <c r="G2130" s="637"/>
      <c r="H2130" s="637"/>
      <c r="I2130" s="637"/>
      <c r="J2130" s="637"/>
    </row>
    <row r="2131" spans="1:10" x14ac:dyDescent="0.2">
      <c r="A2131" s="626"/>
      <c r="B2131" s="637"/>
      <c r="C2131" s="637"/>
      <c r="D2131" s="637"/>
      <c r="E2131" s="637"/>
      <c r="F2131" s="637"/>
      <c r="G2131" s="637"/>
      <c r="H2131" s="637"/>
      <c r="I2131" s="637"/>
      <c r="J2131" s="637"/>
    </row>
    <row r="2132" spans="1:10" x14ac:dyDescent="0.2">
      <c r="A2132" s="626"/>
      <c r="B2132" s="637"/>
      <c r="C2132" s="637"/>
      <c r="D2132" s="637"/>
      <c r="E2132" s="637"/>
      <c r="F2132" s="637"/>
      <c r="G2132" s="637"/>
      <c r="H2132" s="637"/>
      <c r="I2132" s="637"/>
      <c r="J2132" s="637"/>
    </row>
    <row r="2133" spans="1:10" x14ac:dyDescent="0.2">
      <c r="A2133" s="626"/>
      <c r="B2133" s="637"/>
      <c r="C2133" s="637"/>
      <c r="D2133" s="637"/>
      <c r="E2133" s="637"/>
      <c r="F2133" s="637"/>
      <c r="G2133" s="637"/>
      <c r="H2133" s="637"/>
      <c r="I2133" s="637"/>
      <c r="J2133" s="637"/>
    </row>
    <row r="2134" spans="1:10" x14ac:dyDescent="0.2">
      <c r="A2134" s="626"/>
      <c r="B2134" s="637"/>
      <c r="C2134" s="637"/>
      <c r="D2134" s="637"/>
      <c r="E2134" s="637"/>
      <c r="F2134" s="637"/>
      <c r="G2134" s="637"/>
      <c r="H2134" s="637"/>
      <c r="I2134" s="637"/>
      <c r="J2134" s="637"/>
    </row>
    <row r="2135" spans="1:10" x14ac:dyDescent="0.2">
      <c r="A2135" s="626"/>
      <c r="B2135" s="637"/>
      <c r="C2135" s="637"/>
      <c r="D2135" s="637"/>
      <c r="E2135" s="637"/>
      <c r="F2135" s="637"/>
      <c r="G2135" s="637"/>
      <c r="H2135" s="637"/>
      <c r="I2135" s="637"/>
      <c r="J2135" s="637"/>
    </row>
    <row r="2136" spans="1:10" x14ac:dyDescent="0.2">
      <c r="A2136" s="626"/>
      <c r="B2136" s="637"/>
      <c r="C2136" s="637"/>
      <c r="D2136" s="637"/>
      <c r="E2136" s="637"/>
      <c r="F2136" s="637"/>
      <c r="G2136" s="637"/>
      <c r="H2136" s="637"/>
      <c r="I2136" s="637"/>
      <c r="J2136" s="637"/>
    </row>
    <row r="2137" spans="1:10" x14ac:dyDescent="0.2">
      <c r="A2137" s="626"/>
      <c r="B2137" s="637"/>
      <c r="C2137" s="637"/>
      <c r="D2137" s="637"/>
      <c r="E2137" s="637"/>
      <c r="F2137" s="637"/>
      <c r="G2137" s="637"/>
      <c r="H2137" s="637"/>
      <c r="I2137" s="637"/>
      <c r="J2137" s="637"/>
    </row>
    <row r="2138" spans="1:10" x14ac:dyDescent="0.2">
      <c r="A2138" s="626"/>
      <c r="B2138" s="637"/>
      <c r="C2138" s="637"/>
      <c r="D2138" s="637"/>
      <c r="E2138" s="637"/>
      <c r="F2138" s="637"/>
      <c r="G2138" s="637"/>
      <c r="H2138" s="637"/>
      <c r="I2138" s="637"/>
      <c r="J2138" s="637"/>
    </row>
    <row r="2139" spans="1:10" x14ac:dyDescent="0.2">
      <c r="A2139" s="626"/>
      <c r="B2139" s="637"/>
      <c r="C2139" s="637"/>
      <c r="D2139" s="637"/>
      <c r="E2139" s="637"/>
      <c r="F2139" s="637"/>
      <c r="G2139" s="637"/>
      <c r="H2139" s="637"/>
      <c r="I2139" s="637"/>
      <c r="J2139" s="637"/>
    </row>
    <row r="2140" spans="1:10" x14ac:dyDescent="0.2">
      <c r="A2140" s="626"/>
      <c r="B2140" s="637"/>
      <c r="C2140" s="637"/>
      <c r="D2140" s="637"/>
      <c r="E2140" s="637"/>
      <c r="F2140" s="637"/>
      <c r="G2140" s="637"/>
      <c r="H2140" s="637"/>
      <c r="I2140" s="637"/>
      <c r="J2140" s="637"/>
    </row>
    <row r="2141" spans="1:10" x14ac:dyDescent="0.2">
      <c r="A2141" s="626"/>
      <c r="B2141" s="637"/>
      <c r="C2141" s="637"/>
      <c r="D2141" s="637"/>
      <c r="E2141" s="637"/>
      <c r="F2141" s="637"/>
      <c r="G2141" s="637"/>
      <c r="H2141" s="637"/>
      <c r="I2141" s="637"/>
      <c r="J2141" s="637"/>
    </row>
    <row r="2142" spans="1:10" x14ac:dyDescent="0.2">
      <c r="A2142" s="626"/>
      <c r="B2142" s="637"/>
      <c r="C2142" s="637"/>
      <c r="D2142" s="637"/>
      <c r="E2142" s="637"/>
      <c r="F2142" s="637"/>
      <c r="G2142" s="637"/>
      <c r="H2142" s="637"/>
      <c r="I2142" s="637"/>
      <c r="J2142" s="637"/>
    </row>
    <row r="2143" spans="1:10" x14ac:dyDescent="0.2">
      <c r="A2143" s="626"/>
      <c r="B2143" s="637"/>
      <c r="C2143" s="637"/>
      <c r="D2143" s="637"/>
      <c r="E2143" s="637"/>
      <c r="F2143" s="637"/>
      <c r="G2143" s="637"/>
      <c r="H2143" s="637"/>
      <c r="I2143" s="637"/>
      <c r="J2143" s="637"/>
    </row>
    <row r="2144" spans="1:10" x14ac:dyDescent="0.2">
      <c r="A2144" s="626"/>
      <c r="B2144" s="637"/>
      <c r="C2144" s="637"/>
      <c r="D2144" s="637"/>
      <c r="E2144" s="637"/>
      <c r="F2144" s="637"/>
      <c r="G2144" s="637"/>
      <c r="H2144" s="637"/>
      <c r="I2144" s="637"/>
      <c r="J2144" s="637"/>
    </row>
    <row r="2145" spans="1:10" x14ac:dyDescent="0.2">
      <c r="A2145" s="626"/>
      <c r="B2145" s="637"/>
      <c r="C2145" s="637"/>
      <c r="D2145" s="637"/>
      <c r="E2145" s="637"/>
      <c r="F2145" s="637"/>
      <c r="G2145" s="637"/>
      <c r="H2145" s="637"/>
      <c r="I2145" s="637"/>
      <c r="J2145" s="637"/>
    </row>
    <row r="2146" spans="1:10" x14ac:dyDescent="0.2">
      <c r="A2146" s="626"/>
      <c r="B2146" s="637"/>
      <c r="C2146" s="637"/>
      <c r="D2146" s="637"/>
      <c r="E2146" s="637"/>
      <c r="F2146" s="637"/>
      <c r="G2146" s="637"/>
      <c r="H2146" s="637"/>
      <c r="I2146" s="637"/>
      <c r="J2146" s="637"/>
    </row>
    <row r="2147" spans="1:10" x14ac:dyDescent="0.2">
      <c r="A2147" s="626"/>
      <c r="B2147" s="637"/>
      <c r="C2147" s="637"/>
      <c r="D2147" s="637"/>
      <c r="E2147" s="637"/>
      <c r="F2147" s="637"/>
      <c r="G2147" s="637"/>
      <c r="H2147" s="637"/>
      <c r="I2147" s="637"/>
      <c r="J2147" s="637"/>
    </row>
    <row r="2148" spans="1:10" x14ac:dyDescent="0.2">
      <c r="A2148" s="626"/>
      <c r="B2148" s="637"/>
      <c r="C2148" s="637"/>
      <c r="D2148" s="637"/>
      <c r="E2148" s="637"/>
      <c r="F2148" s="637"/>
      <c r="G2148" s="637"/>
      <c r="H2148" s="637"/>
      <c r="I2148" s="637"/>
      <c r="J2148" s="637"/>
    </row>
    <row r="2149" spans="1:10" x14ac:dyDescent="0.2">
      <c r="A2149" s="626"/>
      <c r="B2149" s="637"/>
      <c r="C2149" s="637"/>
      <c r="D2149" s="637"/>
      <c r="E2149" s="637"/>
      <c r="F2149" s="637"/>
      <c r="G2149" s="637"/>
      <c r="H2149" s="637"/>
      <c r="I2149" s="637"/>
      <c r="J2149" s="637"/>
    </row>
    <row r="2150" spans="1:10" x14ac:dyDescent="0.2">
      <c r="A2150" s="626"/>
      <c r="B2150" s="637"/>
      <c r="C2150" s="637"/>
      <c r="D2150" s="637"/>
      <c r="E2150" s="637"/>
      <c r="F2150" s="637"/>
      <c r="G2150" s="637"/>
      <c r="H2150" s="637"/>
      <c r="I2150" s="637"/>
      <c r="J2150" s="637"/>
    </row>
    <row r="2151" spans="1:10" x14ac:dyDescent="0.2">
      <c r="A2151" s="626"/>
      <c r="B2151" s="637"/>
      <c r="C2151" s="637"/>
      <c r="D2151" s="637"/>
      <c r="E2151" s="637"/>
      <c r="F2151" s="637"/>
      <c r="G2151" s="637"/>
      <c r="H2151" s="637"/>
      <c r="I2151" s="637"/>
      <c r="J2151" s="637"/>
    </row>
    <row r="2152" spans="1:10" x14ac:dyDescent="0.2">
      <c r="A2152" s="626"/>
      <c r="B2152" s="637"/>
      <c r="C2152" s="637"/>
      <c r="D2152" s="637"/>
      <c r="E2152" s="637"/>
      <c r="F2152" s="637"/>
      <c r="G2152" s="637"/>
      <c r="H2152" s="637"/>
      <c r="I2152" s="637"/>
      <c r="J2152" s="637"/>
    </row>
    <row r="2153" spans="1:10" x14ac:dyDescent="0.2">
      <c r="A2153" s="626"/>
      <c r="B2153" s="637"/>
      <c r="C2153" s="637"/>
      <c r="D2153" s="637"/>
      <c r="E2153" s="637"/>
      <c r="F2153" s="637"/>
      <c r="G2153" s="637"/>
      <c r="H2153" s="637"/>
      <c r="I2153" s="637"/>
      <c r="J2153" s="637"/>
    </row>
    <row r="2154" spans="1:10" x14ac:dyDescent="0.2">
      <c r="A2154" s="626"/>
      <c r="B2154" s="637"/>
      <c r="C2154" s="637"/>
      <c r="D2154" s="637"/>
      <c r="E2154" s="637"/>
      <c r="F2154" s="637"/>
      <c r="G2154" s="637"/>
      <c r="H2154" s="637"/>
      <c r="I2154" s="637"/>
      <c r="J2154" s="637"/>
    </row>
    <row r="2155" spans="1:10" x14ac:dyDescent="0.2">
      <c r="A2155" s="626"/>
      <c r="B2155" s="637"/>
      <c r="C2155" s="637"/>
      <c r="D2155" s="637"/>
      <c r="E2155" s="637"/>
      <c r="F2155" s="637"/>
      <c r="G2155" s="637"/>
      <c r="H2155" s="637"/>
      <c r="I2155" s="637"/>
      <c r="J2155" s="637"/>
    </row>
    <row r="2156" spans="1:10" x14ac:dyDescent="0.2">
      <c r="A2156" s="626"/>
      <c r="B2156" s="637"/>
      <c r="C2156" s="637"/>
      <c r="D2156" s="637"/>
      <c r="E2156" s="637"/>
      <c r="F2156" s="637"/>
      <c r="G2156" s="637"/>
      <c r="H2156" s="637"/>
      <c r="I2156" s="637"/>
      <c r="J2156" s="637"/>
    </row>
    <row r="2157" spans="1:10" x14ac:dyDescent="0.2">
      <c r="A2157" s="626"/>
      <c r="B2157" s="637"/>
      <c r="C2157" s="637"/>
      <c r="D2157" s="637"/>
      <c r="E2157" s="637"/>
      <c r="F2157" s="637"/>
      <c r="G2157" s="637"/>
      <c r="H2157" s="637"/>
      <c r="I2157" s="637"/>
      <c r="J2157" s="637"/>
    </row>
    <row r="2158" spans="1:10" x14ac:dyDescent="0.2">
      <c r="A2158" s="626"/>
      <c r="B2158" s="637"/>
      <c r="C2158" s="637"/>
      <c r="D2158" s="637"/>
      <c r="E2158" s="637"/>
      <c r="F2158" s="637"/>
      <c r="G2158" s="637"/>
      <c r="H2158" s="637"/>
      <c r="I2158" s="637"/>
      <c r="J2158" s="637"/>
    </row>
    <row r="2159" spans="1:10" x14ac:dyDescent="0.2">
      <c r="A2159" s="626"/>
      <c r="B2159" s="637"/>
      <c r="C2159" s="637"/>
      <c r="D2159" s="637"/>
      <c r="E2159" s="637"/>
      <c r="F2159" s="637"/>
      <c r="G2159" s="637"/>
      <c r="H2159" s="637"/>
      <c r="I2159" s="637"/>
      <c r="J2159" s="637"/>
    </row>
    <row r="2160" spans="1:10" x14ac:dyDescent="0.2">
      <c r="A2160" s="626"/>
      <c r="B2160" s="637"/>
      <c r="C2160" s="637"/>
      <c r="D2160" s="637"/>
      <c r="E2160" s="637"/>
      <c r="F2160" s="637"/>
      <c r="G2160" s="637"/>
      <c r="H2160" s="637"/>
      <c r="I2160" s="637"/>
      <c r="J2160" s="637"/>
    </row>
    <row r="2161" spans="1:10" x14ac:dyDescent="0.2">
      <c r="A2161" s="626"/>
      <c r="B2161" s="637"/>
      <c r="C2161" s="637"/>
      <c r="D2161" s="637"/>
      <c r="E2161" s="637"/>
      <c r="F2161" s="637"/>
      <c r="G2161" s="637"/>
      <c r="H2161" s="637"/>
      <c r="I2161" s="637"/>
      <c r="J2161" s="637"/>
    </row>
    <row r="2162" spans="1:10" x14ac:dyDescent="0.2">
      <c r="A2162" s="626"/>
      <c r="B2162" s="637"/>
      <c r="C2162" s="637"/>
      <c r="D2162" s="637"/>
      <c r="E2162" s="637"/>
      <c r="F2162" s="637"/>
      <c r="G2162" s="637"/>
      <c r="H2162" s="637"/>
      <c r="I2162" s="637"/>
      <c r="J2162" s="637"/>
    </row>
    <row r="2163" spans="1:10" x14ac:dyDescent="0.2">
      <c r="A2163" s="626"/>
      <c r="B2163" s="637"/>
      <c r="C2163" s="637"/>
      <c r="D2163" s="637"/>
      <c r="E2163" s="637"/>
      <c r="F2163" s="637"/>
      <c r="G2163" s="637"/>
      <c r="H2163" s="637"/>
      <c r="I2163" s="637"/>
      <c r="J2163" s="637"/>
    </row>
    <row r="2164" spans="1:10" x14ac:dyDescent="0.2">
      <c r="A2164" s="626"/>
      <c r="B2164" s="637"/>
      <c r="C2164" s="637"/>
      <c r="D2164" s="637"/>
      <c r="E2164" s="637"/>
      <c r="F2164" s="637"/>
      <c r="G2164" s="637"/>
      <c r="H2164" s="637"/>
      <c r="I2164" s="637"/>
      <c r="J2164" s="637"/>
    </row>
    <row r="2165" spans="1:10" x14ac:dyDescent="0.2">
      <c r="A2165" s="626"/>
      <c r="B2165" s="637"/>
      <c r="C2165" s="637"/>
      <c r="D2165" s="637"/>
      <c r="E2165" s="637"/>
      <c r="F2165" s="637"/>
      <c r="G2165" s="637"/>
      <c r="H2165" s="637"/>
      <c r="I2165" s="637"/>
      <c r="J2165" s="637"/>
    </row>
    <row r="2166" spans="1:10" x14ac:dyDescent="0.2">
      <c r="A2166" s="626"/>
      <c r="B2166" s="637"/>
      <c r="C2166" s="637"/>
      <c r="D2166" s="637"/>
      <c r="E2166" s="637"/>
      <c r="F2166" s="637"/>
      <c r="G2166" s="637"/>
      <c r="H2166" s="637"/>
      <c r="I2166" s="637"/>
      <c r="J2166" s="637"/>
    </row>
    <row r="2167" spans="1:10" x14ac:dyDescent="0.2">
      <c r="A2167" s="626"/>
      <c r="B2167" s="637"/>
      <c r="C2167" s="637"/>
      <c r="D2167" s="637"/>
      <c r="E2167" s="637"/>
      <c r="F2167" s="637"/>
      <c r="G2167" s="637"/>
      <c r="H2167" s="637"/>
      <c r="I2167" s="637"/>
      <c r="J2167" s="637"/>
    </row>
    <row r="2168" spans="1:10" x14ac:dyDescent="0.2">
      <c r="A2168" s="626"/>
      <c r="B2168" s="637"/>
      <c r="C2168" s="637"/>
      <c r="D2168" s="637"/>
      <c r="E2168" s="637"/>
      <c r="F2168" s="637"/>
      <c r="G2168" s="637"/>
      <c r="H2168" s="637"/>
      <c r="I2168" s="637"/>
      <c r="J2168" s="637"/>
    </row>
    <row r="2169" spans="1:10" x14ac:dyDescent="0.2">
      <c r="A2169" s="626"/>
      <c r="B2169" s="637"/>
      <c r="C2169" s="637"/>
      <c r="D2169" s="637"/>
      <c r="E2169" s="637"/>
      <c r="F2169" s="637"/>
      <c r="G2169" s="637"/>
      <c r="H2169" s="637"/>
      <c r="I2169" s="637"/>
      <c r="J2169" s="637"/>
    </row>
    <row r="2170" spans="1:10" x14ac:dyDescent="0.2">
      <c r="A2170" s="626"/>
      <c r="B2170" s="637"/>
      <c r="C2170" s="637"/>
      <c r="D2170" s="637"/>
      <c r="E2170" s="637"/>
      <c r="F2170" s="637"/>
      <c r="G2170" s="637"/>
      <c r="H2170" s="637"/>
      <c r="I2170" s="637"/>
      <c r="J2170" s="637"/>
    </row>
    <row r="2171" spans="1:10" x14ac:dyDescent="0.2">
      <c r="A2171" s="626"/>
      <c r="B2171" s="637"/>
      <c r="C2171" s="637"/>
      <c r="D2171" s="637"/>
      <c r="E2171" s="637"/>
      <c r="F2171" s="637"/>
      <c r="G2171" s="637"/>
      <c r="H2171" s="637"/>
      <c r="I2171" s="637"/>
      <c r="J2171" s="637"/>
    </row>
    <row r="2172" spans="1:10" x14ac:dyDescent="0.2">
      <c r="A2172" s="626"/>
      <c r="B2172" s="637"/>
      <c r="C2172" s="637"/>
      <c r="D2172" s="637"/>
      <c r="E2172" s="637"/>
      <c r="F2172" s="637"/>
      <c r="G2172" s="637"/>
      <c r="H2172" s="637"/>
      <c r="I2172" s="637"/>
      <c r="J2172" s="637"/>
    </row>
    <row r="2173" spans="1:10" x14ac:dyDescent="0.2">
      <c r="A2173" s="626"/>
      <c r="B2173" s="637"/>
      <c r="C2173" s="637"/>
      <c r="D2173" s="637"/>
      <c r="E2173" s="637"/>
      <c r="F2173" s="637"/>
      <c r="G2173" s="637"/>
      <c r="H2173" s="637"/>
      <c r="I2173" s="637"/>
      <c r="J2173" s="637"/>
    </row>
    <row r="2174" spans="1:10" x14ac:dyDescent="0.2">
      <c r="A2174" s="626"/>
      <c r="B2174" s="637"/>
      <c r="C2174" s="637"/>
      <c r="D2174" s="637"/>
      <c r="E2174" s="637"/>
      <c r="F2174" s="637"/>
      <c r="G2174" s="637"/>
      <c r="H2174" s="637"/>
      <c r="I2174" s="637"/>
      <c r="J2174" s="637"/>
    </row>
    <row r="2175" spans="1:10" x14ac:dyDescent="0.2">
      <c r="A2175" s="626"/>
      <c r="B2175" s="637"/>
      <c r="C2175" s="637"/>
      <c r="D2175" s="637"/>
      <c r="E2175" s="637"/>
      <c r="F2175" s="637"/>
      <c r="G2175" s="637"/>
      <c r="H2175" s="637"/>
      <c r="I2175" s="637"/>
      <c r="J2175" s="637"/>
    </row>
    <row r="2176" spans="1:10" x14ac:dyDescent="0.2">
      <c r="A2176" s="626"/>
      <c r="B2176" s="637"/>
      <c r="C2176" s="637"/>
      <c r="D2176" s="637"/>
      <c r="E2176" s="637"/>
      <c r="F2176" s="637"/>
      <c r="G2176" s="637"/>
      <c r="H2176" s="637"/>
      <c r="I2176" s="637"/>
      <c r="J2176" s="637"/>
    </row>
    <row r="2177" spans="1:10" x14ac:dyDescent="0.2">
      <c r="A2177" s="626"/>
      <c r="B2177" s="637"/>
      <c r="C2177" s="637"/>
      <c r="D2177" s="637"/>
      <c r="E2177" s="637"/>
      <c r="F2177" s="637"/>
      <c r="G2177" s="637"/>
      <c r="H2177" s="637"/>
      <c r="I2177" s="637"/>
      <c r="J2177" s="637"/>
    </row>
    <row r="2178" spans="1:10" x14ac:dyDescent="0.2">
      <c r="A2178" s="626"/>
      <c r="B2178" s="637"/>
      <c r="C2178" s="637"/>
      <c r="D2178" s="637"/>
      <c r="E2178" s="637"/>
      <c r="F2178" s="637"/>
      <c r="G2178" s="637"/>
      <c r="H2178" s="637"/>
      <c r="I2178" s="637"/>
      <c r="J2178" s="637"/>
    </row>
    <row r="2179" spans="1:10" x14ac:dyDescent="0.2">
      <c r="A2179" s="626"/>
      <c r="B2179" s="637"/>
      <c r="C2179" s="637"/>
      <c r="D2179" s="637"/>
      <c r="E2179" s="637"/>
      <c r="F2179" s="637"/>
      <c r="G2179" s="637"/>
      <c r="H2179" s="637"/>
      <c r="I2179" s="637"/>
      <c r="J2179" s="637"/>
    </row>
    <row r="2180" spans="1:10" x14ac:dyDescent="0.2">
      <c r="A2180" s="626"/>
      <c r="B2180" s="637"/>
      <c r="C2180" s="637"/>
      <c r="D2180" s="637"/>
      <c r="E2180" s="637"/>
      <c r="F2180" s="637"/>
      <c r="G2180" s="637"/>
      <c r="H2180" s="637"/>
      <c r="I2180" s="637"/>
      <c r="J2180" s="637"/>
    </row>
    <row r="2181" spans="1:10" x14ac:dyDescent="0.2">
      <c r="A2181" s="626"/>
      <c r="B2181" s="637"/>
      <c r="C2181" s="637"/>
      <c r="D2181" s="637"/>
      <c r="E2181" s="637"/>
      <c r="F2181" s="637"/>
      <c r="G2181" s="637"/>
      <c r="H2181" s="637"/>
      <c r="I2181" s="637"/>
      <c r="J2181" s="637"/>
    </row>
    <row r="2182" spans="1:10" x14ac:dyDescent="0.2">
      <c r="A2182" s="626"/>
      <c r="B2182" s="637"/>
      <c r="C2182" s="637"/>
      <c r="D2182" s="637"/>
      <c r="E2182" s="637"/>
      <c r="F2182" s="637"/>
      <c r="G2182" s="637"/>
      <c r="H2182" s="637"/>
      <c r="I2182" s="637"/>
      <c r="J2182" s="637"/>
    </row>
    <row r="2183" spans="1:10" x14ac:dyDescent="0.2">
      <c r="A2183" s="626"/>
      <c r="B2183" s="637"/>
      <c r="C2183" s="637"/>
      <c r="D2183" s="637"/>
      <c r="E2183" s="637"/>
      <c r="F2183" s="637"/>
      <c r="G2183" s="637"/>
      <c r="H2183" s="637"/>
      <c r="I2183" s="637"/>
      <c r="J2183" s="637"/>
    </row>
    <row r="2184" spans="1:10" x14ac:dyDescent="0.2">
      <c r="A2184" s="626"/>
      <c r="B2184" s="637"/>
      <c r="C2184" s="637"/>
      <c r="D2184" s="637"/>
      <c r="E2184" s="637"/>
      <c r="F2184" s="637"/>
      <c r="G2184" s="637"/>
      <c r="H2184" s="637"/>
      <c r="I2184" s="637"/>
      <c r="J2184" s="637"/>
    </row>
    <row r="2185" spans="1:10" x14ac:dyDescent="0.2">
      <c r="A2185" s="626"/>
      <c r="B2185" s="637"/>
      <c r="C2185" s="637"/>
      <c r="D2185" s="637"/>
      <c r="E2185" s="637"/>
      <c r="F2185" s="637"/>
      <c r="G2185" s="637"/>
      <c r="H2185" s="637"/>
      <c r="I2185" s="637"/>
      <c r="J2185" s="637"/>
    </row>
    <row r="2186" spans="1:10" x14ac:dyDescent="0.2">
      <c r="A2186" s="626"/>
      <c r="B2186" s="637"/>
      <c r="C2186" s="637"/>
      <c r="D2186" s="637"/>
      <c r="E2186" s="637"/>
      <c r="F2186" s="637"/>
      <c r="G2186" s="637"/>
      <c r="H2186" s="637"/>
      <c r="I2186" s="637"/>
      <c r="J2186" s="637"/>
    </row>
    <row r="2187" spans="1:10" x14ac:dyDescent="0.2">
      <c r="A2187" s="626"/>
      <c r="B2187" s="637"/>
      <c r="C2187" s="637"/>
      <c r="D2187" s="637"/>
      <c r="E2187" s="637"/>
      <c r="F2187" s="637"/>
      <c r="G2187" s="637"/>
      <c r="H2187" s="637"/>
      <c r="I2187" s="637"/>
      <c r="J2187" s="637"/>
    </row>
    <row r="2188" spans="1:10" x14ac:dyDescent="0.2">
      <c r="A2188" s="626"/>
      <c r="B2188" s="637"/>
      <c r="C2188" s="637"/>
      <c r="D2188" s="637"/>
      <c r="E2188" s="637"/>
      <c r="F2188" s="637"/>
      <c r="G2188" s="637"/>
      <c r="H2188" s="637"/>
      <c r="I2188" s="637"/>
      <c r="J2188" s="637"/>
    </row>
    <row r="2189" spans="1:10" x14ac:dyDescent="0.2">
      <c r="A2189" s="626"/>
      <c r="B2189" s="637"/>
      <c r="C2189" s="637"/>
      <c r="D2189" s="637"/>
      <c r="E2189" s="637"/>
      <c r="F2189" s="637"/>
      <c r="G2189" s="637"/>
      <c r="H2189" s="637"/>
      <c r="I2189" s="637"/>
      <c r="J2189" s="637"/>
    </row>
    <row r="2190" spans="1:10" x14ac:dyDescent="0.2">
      <c r="A2190" s="626"/>
      <c r="B2190" s="637"/>
      <c r="C2190" s="637"/>
      <c r="D2190" s="637"/>
      <c r="E2190" s="637"/>
      <c r="F2190" s="637"/>
      <c r="G2190" s="637"/>
      <c r="H2190" s="637"/>
      <c r="I2190" s="637"/>
      <c r="J2190" s="637"/>
    </row>
    <row r="2191" spans="1:10" x14ac:dyDescent="0.2">
      <c r="A2191" s="626"/>
      <c r="B2191" s="637"/>
      <c r="C2191" s="637"/>
      <c r="D2191" s="637"/>
      <c r="E2191" s="637"/>
      <c r="F2191" s="637"/>
      <c r="G2191" s="637"/>
      <c r="H2191" s="637"/>
      <c r="I2191" s="637"/>
      <c r="J2191" s="637"/>
    </row>
    <row r="2192" spans="1:10" x14ac:dyDescent="0.2">
      <c r="A2192" s="626"/>
      <c r="B2192" s="637"/>
      <c r="C2192" s="637"/>
      <c r="D2192" s="637"/>
      <c r="E2192" s="637"/>
      <c r="F2192" s="637"/>
      <c r="G2192" s="637"/>
      <c r="H2192" s="637"/>
      <c r="I2192" s="637"/>
      <c r="J2192" s="637"/>
    </row>
    <row r="2193" spans="1:10" x14ac:dyDescent="0.2">
      <c r="A2193" s="626"/>
      <c r="B2193" s="637"/>
      <c r="C2193" s="637"/>
      <c r="D2193" s="637"/>
      <c r="E2193" s="637"/>
      <c r="F2193" s="637"/>
      <c r="G2193" s="637"/>
      <c r="H2193" s="637"/>
      <c r="I2193" s="637"/>
      <c r="J2193" s="637"/>
    </row>
    <row r="2194" spans="1:10" x14ac:dyDescent="0.2">
      <c r="A2194" s="626"/>
      <c r="B2194" s="637"/>
      <c r="C2194" s="637"/>
      <c r="D2194" s="637"/>
      <c r="E2194" s="637"/>
      <c r="F2194" s="637"/>
      <c r="G2194" s="637"/>
      <c r="H2194" s="637"/>
      <c r="I2194" s="637"/>
      <c r="J2194" s="637"/>
    </row>
    <row r="2195" spans="1:10" x14ac:dyDescent="0.2">
      <c r="A2195" s="626"/>
      <c r="B2195" s="637"/>
      <c r="C2195" s="637"/>
      <c r="D2195" s="637"/>
      <c r="E2195" s="637"/>
      <c r="F2195" s="637"/>
      <c r="G2195" s="637"/>
      <c r="H2195" s="637"/>
      <c r="I2195" s="637"/>
      <c r="J2195" s="637"/>
    </row>
    <row r="2196" spans="1:10" x14ac:dyDescent="0.2">
      <c r="A2196" s="626"/>
      <c r="B2196" s="637"/>
      <c r="C2196" s="637"/>
      <c r="D2196" s="637"/>
      <c r="E2196" s="637"/>
      <c r="F2196" s="637"/>
      <c r="G2196" s="637"/>
      <c r="H2196" s="637"/>
      <c r="I2196" s="637"/>
      <c r="J2196" s="637"/>
    </row>
    <row r="2197" spans="1:10" x14ac:dyDescent="0.2">
      <c r="A2197" s="626"/>
      <c r="B2197" s="637"/>
      <c r="C2197" s="637"/>
      <c r="D2197" s="637"/>
      <c r="E2197" s="637"/>
      <c r="F2197" s="637"/>
      <c r="G2197" s="637"/>
      <c r="H2197" s="637"/>
      <c r="I2197" s="637"/>
      <c r="J2197" s="637"/>
    </row>
    <row r="2198" spans="1:10" x14ac:dyDescent="0.2">
      <c r="A2198" s="626"/>
      <c r="B2198" s="637"/>
      <c r="C2198" s="637"/>
      <c r="D2198" s="637"/>
      <c r="E2198" s="637"/>
      <c r="F2198" s="637"/>
      <c r="G2198" s="637"/>
      <c r="H2198" s="637"/>
      <c r="I2198" s="637"/>
      <c r="J2198" s="637"/>
    </row>
    <row r="2199" spans="1:10" x14ac:dyDescent="0.2">
      <c r="A2199" s="626"/>
      <c r="B2199" s="637"/>
      <c r="C2199" s="637"/>
      <c r="D2199" s="637"/>
      <c r="E2199" s="637"/>
      <c r="F2199" s="637"/>
      <c r="G2199" s="637"/>
      <c r="H2199" s="637"/>
      <c r="I2199" s="637"/>
      <c r="J2199" s="637"/>
    </row>
    <row r="2200" spans="1:10" x14ac:dyDescent="0.2">
      <c r="A2200" s="626"/>
      <c r="B2200" s="637"/>
      <c r="C2200" s="637"/>
      <c r="D2200" s="637"/>
      <c r="E2200" s="637"/>
      <c r="F2200" s="637"/>
      <c r="G2200" s="637"/>
      <c r="H2200" s="637"/>
      <c r="I2200" s="637"/>
      <c r="J2200" s="637"/>
    </row>
    <row r="2201" spans="1:10" x14ac:dyDescent="0.2">
      <c r="A2201" s="626"/>
      <c r="B2201" s="637"/>
      <c r="C2201" s="637"/>
      <c r="D2201" s="637"/>
      <c r="E2201" s="637"/>
      <c r="F2201" s="637"/>
      <c r="G2201" s="637"/>
      <c r="H2201" s="637"/>
      <c r="I2201" s="637"/>
      <c r="J2201" s="637"/>
    </row>
    <row r="2202" spans="1:10" x14ac:dyDescent="0.2">
      <c r="A2202" s="626"/>
      <c r="B2202" s="637"/>
      <c r="C2202" s="637"/>
      <c r="D2202" s="637"/>
      <c r="E2202" s="637"/>
      <c r="F2202" s="637"/>
      <c r="G2202" s="637"/>
      <c r="H2202" s="637"/>
      <c r="I2202" s="637"/>
      <c r="J2202" s="637"/>
    </row>
    <row r="2203" spans="1:10" x14ac:dyDescent="0.2">
      <c r="A2203" s="626"/>
      <c r="B2203" s="637"/>
      <c r="C2203" s="637"/>
      <c r="D2203" s="637"/>
      <c r="E2203" s="637"/>
      <c r="F2203" s="637"/>
      <c r="G2203" s="637"/>
      <c r="H2203" s="637"/>
      <c r="I2203" s="637"/>
      <c r="J2203" s="637"/>
    </row>
    <row r="2204" spans="1:10" x14ac:dyDescent="0.2">
      <c r="A2204" s="626"/>
      <c r="B2204" s="637"/>
      <c r="C2204" s="637"/>
      <c r="D2204" s="637"/>
      <c r="E2204" s="637"/>
      <c r="F2204" s="637"/>
      <c r="G2204" s="637"/>
      <c r="H2204" s="637"/>
      <c r="I2204" s="637"/>
      <c r="J2204" s="637"/>
    </row>
    <row r="2205" spans="1:10" x14ac:dyDescent="0.2">
      <c r="A2205" s="626"/>
      <c r="B2205" s="637"/>
      <c r="C2205" s="637"/>
      <c r="D2205" s="637"/>
      <c r="E2205" s="637"/>
      <c r="F2205" s="637"/>
      <c r="G2205" s="637"/>
      <c r="H2205" s="637"/>
      <c r="I2205" s="637"/>
      <c r="J2205" s="637"/>
    </row>
    <row r="2206" spans="1:10" x14ac:dyDescent="0.2">
      <c r="A2206" s="626"/>
      <c r="B2206" s="637"/>
      <c r="C2206" s="637"/>
      <c r="D2206" s="637"/>
      <c r="E2206" s="637"/>
      <c r="F2206" s="637"/>
      <c r="G2206" s="637"/>
      <c r="H2206" s="637"/>
      <c r="I2206" s="637"/>
      <c r="J2206" s="637"/>
    </row>
    <row r="2207" spans="1:10" x14ac:dyDescent="0.2">
      <c r="A2207" s="626"/>
      <c r="B2207" s="637"/>
      <c r="C2207" s="637"/>
      <c r="D2207" s="637"/>
      <c r="E2207" s="637"/>
      <c r="F2207" s="637"/>
      <c r="G2207" s="637"/>
      <c r="H2207" s="637"/>
      <c r="I2207" s="637"/>
      <c r="J2207" s="637"/>
    </row>
    <row r="2208" spans="1:10" x14ac:dyDescent="0.2">
      <c r="A2208" s="626"/>
      <c r="B2208" s="637"/>
      <c r="C2208" s="637"/>
      <c r="D2208" s="637"/>
      <c r="E2208" s="637"/>
      <c r="F2208" s="637"/>
      <c r="G2208" s="637"/>
      <c r="H2208" s="637"/>
      <c r="I2208" s="637"/>
      <c r="J2208" s="637"/>
    </row>
    <row r="2209" spans="1:10" x14ac:dyDescent="0.2">
      <c r="A2209" s="626"/>
      <c r="B2209" s="637"/>
      <c r="C2209" s="637"/>
      <c r="D2209" s="637"/>
      <c r="E2209" s="637"/>
      <c r="F2209" s="637"/>
      <c r="G2209" s="637"/>
      <c r="H2209" s="637"/>
      <c r="I2209" s="637"/>
      <c r="J2209" s="637"/>
    </row>
    <row r="2210" spans="1:10" x14ac:dyDescent="0.2">
      <c r="A2210" s="626"/>
      <c r="B2210" s="637"/>
      <c r="C2210" s="637"/>
      <c r="D2210" s="637"/>
      <c r="E2210" s="637"/>
      <c r="F2210" s="637"/>
      <c r="G2210" s="637"/>
      <c r="H2210" s="637"/>
      <c r="I2210" s="637"/>
      <c r="J2210" s="637"/>
    </row>
    <row r="2211" spans="1:10" x14ac:dyDescent="0.2">
      <c r="A2211" s="626"/>
      <c r="B2211" s="637"/>
      <c r="C2211" s="637"/>
      <c r="D2211" s="637"/>
      <c r="E2211" s="637"/>
      <c r="F2211" s="637"/>
      <c r="G2211" s="637"/>
      <c r="H2211" s="637"/>
      <c r="I2211" s="637"/>
      <c r="J2211" s="637"/>
    </row>
    <row r="2212" spans="1:10" x14ac:dyDescent="0.2">
      <c r="A2212" s="626"/>
      <c r="B2212" s="637"/>
      <c r="C2212" s="637"/>
      <c r="D2212" s="637"/>
      <c r="E2212" s="637"/>
      <c r="F2212" s="637"/>
      <c r="G2212" s="637"/>
      <c r="H2212" s="637"/>
      <c r="I2212" s="637"/>
      <c r="J2212" s="637"/>
    </row>
    <row r="2213" spans="1:10" x14ac:dyDescent="0.2">
      <c r="A2213" s="626"/>
      <c r="B2213" s="637"/>
      <c r="C2213" s="637"/>
      <c r="D2213" s="637"/>
      <c r="E2213" s="637"/>
      <c r="F2213" s="637"/>
      <c r="G2213" s="637"/>
      <c r="H2213" s="637"/>
      <c r="I2213" s="637"/>
      <c r="J2213" s="637"/>
    </row>
    <row r="2214" spans="1:10" x14ac:dyDescent="0.2">
      <c r="A2214" s="626"/>
      <c r="B2214" s="637"/>
      <c r="C2214" s="637"/>
      <c r="D2214" s="637"/>
      <c r="E2214" s="637"/>
      <c r="F2214" s="637"/>
      <c r="G2214" s="637"/>
      <c r="H2214" s="637"/>
      <c r="I2214" s="637"/>
      <c r="J2214" s="637"/>
    </row>
    <row r="2215" spans="1:10" x14ac:dyDescent="0.2">
      <c r="A2215" s="626"/>
      <c r="B2215" s="637"/>
      <c r="C2215" s="637"/>
      <c r="D2215" s="637"/>
      <c r="E2215" s="637"/>
      <c r="F2215" s="637"/>
      <c r="G2215" s="637"/>
      <c r="H2215" s="637"/>
      <c r="I2215" s="637"/>
      <c r="J2215" s="637"/>
    </row>
    <row r="2216" spans="1:10" x14ac:dyDescent="0.2">
      <c r="A2216" s="626"/>
      <c r="B2216" s="637"/>
      <c r="C2216" s="637"/>
      <c r="D2216" s="637"/>
      <c r="E2216" s="637"/>
      <c r="F2216" s="637"/>
      <c r="G2216" s="637"/>
      <c r="H2216" s="637"/>
      <c r="I2216" s="637"/>
      <c r="J2216" s="637"/>
    </row>
    <row r="2217" spans="1:10" x14ac:dyDescent="0.2">
      <c r="A2217" s="626"/>
      <c r="B2217" s="637"/>
      <c r="C2217" s="637"/>
      <c r="D2217" s="637"/>
      <c r="E2217" s="637"/>
      <c r="F2217" s="637"/>
      <c r="G2217" s="637"/>
      <c r="H2217" s="637"/>
      <c r="I2217" s="637"/>
      <c r="J2217" s="637"/>
    </row>
    <row r="2218" spans="1:10" x14ac:dyDescent="0.2">
      <c r="A2218" s="626"/>
      <c r="B2218" s="637"/>
      <c r="C2218" s="637"/>
      <c r="D2218" s="637"/>
      <c r="E2218" s="637"/>
      <c r="F2218" s="637"/>
      <c r="G2218" s="637"/>
      <c r="H2218" s="637"/>
      <c r="I2218" s="637"/>
      <c r="J2218" s="637"/>
    </row>
    <row r="2219" spans="1:10" x14ac:dyDescent="0.2">
      <c r="A2219" s="626"/>
      <c r="B2219" s="637"/>
      <c r="C2219" s="637"/>
      <c r="D2219" s="637"/>
      <c r="E2219" s="637"/>
      <c r="F2219" s="637"/>
      <c r="G2219" s="637"/>
      <c r="H2219" s="637"/>
      <c r="I2219" s="637"/>
      <c r="J2219" s="637"/>
    </row>
    <row r="2220" spans="1:10" x14ac:dyDescent="0.2">
      <c r="A2220" s="626"/>
      <c r="B2220" s="637"/>
      <c r="C2220" s="637"/>
      <c r="D2220" s="637"/>
      <c r="E2220" s="637"/>
      <c r="F2220" s="637"/>
      <c r="G2220" s="637"/>
      <c r="H2220" s="637"/>
      <c r="I2220" s="637"/>
      <c r="J2220" s="637"/>
    </row>
    <row r="2221" spans="1:10" x14ac:dyDescent="0.2">
      <c r="A2221" s="626"/>
      <c r="B2221" s="637"/>
      <c r="C2221" s="637"/>
      <c r="D2221" s="637"/>
      <c r="E2221" s="637"/>
      <c r="F2221" s="637"/>
      <c r="G2221" s="637"/>
      <c r="H2221" s="637"/>
      <c r="I2221" s="637"/>
      <c r="J2221" s="637"/>
    </row>
    <row r="2222" spans="1:10" x14ac:dyDescent="0.2">
      <c r="A2222" s="626"/>
      <c r="B2222" s="637"/>
      <c r="C2222" s="637"/>
      <c r="D2222" s="637"/>
      <c r="E2222" s="637"/>
      <c r="F2222" s="637"/>
      <c r="G2222" s="637"/>
      <c r="H2222" s="637"/>
      <c r="I2222" s="637"/>
      <c r="J2222" s="637"/>
    </row>
    <row r="2223" spans="1:10" x14ac:dyDescent="0.2">
      <c r="A2223" s="626"/>
      <c r="B2223" s="637"/>
      <c r="C2223" s="637"/>
      <c r="D2223" s="637"/>
      <c r="E2223" s="637"/>
      <c r="F2223" s="637"/>
      <c r="G2223" s="637"/>
      <c r="H2223" s="637"/>
      <c r="I2223" s="637"/>
      <c r="J2223" s="637"/>
    </row>
    <row r="2224" spans="1:10" x14ac:dyDescent="0.2">
      <c r="A2224" s="626"/>
      <c r="B2224" s="637"/>
      <c r="C2224" s="637"/>
      <c r="D2224" s="637"/>
      <c r="E2224" s="637"/>
      <c r="F2224" s="637"/>
      <c r="G2224" s="637"/>
      <c r="H2224" s="637"/>
      <c r="I2224" s="637"/>
      <c r="J2224" s="637"/>
    </row>
    <row r="2225" spans="1:10" x14ac:dyDescent="0.2">
      <c r="A2225" s="626"/>
      <c r="B2225" s="637"/>
      <c r="C2225" s="637"/>
      <c r="D2225" s="637"/>
      <c r="E2225" s="637"/>
      <c r="F2225" s="637"/>
      <c r="G2225" s="637"/>
      <c r="H2225" s="637"/>
      <c r="I2225" s="637"/>
      <c r="J2225" s="637"/>
    </row>
    <row r="2226" spans="1:10" x14ac:dyDescent="0.2">
      <c r="A2226" s="626"/>
      <c r="B2226" s="637"/>
      <c r="C2226" s="637"/>
      <c r="D2226" s="637"/>
      <c r="E2226" s="637"/>
      <c r="F2226" s="637"/>
      <c r="G2226" s="637"/>
      <c r="H2226" s="637"/>
      <c r="I2226" s="637"/>
      <c r="J2226" s="637"/>
    </row>
    <row r="2227" spans="1:10" x14ac:dyDescent="0.2">
      <c r="A2227" s="626"/>
      <c r="B2227" s="637"/>
      <c r="C2227" s="637"/>
      <c r="D2227" s="637"/>
      <c r="E2227" s="637"/>
      <c r="F2227" s="637"/>
      <c r="G2227" s="637"/>
      <c r="H2227" s="637"/>
      <c r="I2227" s="637"/>
      <c r="J2227" s="637"/>
    </row>
    <row r="2228" spans="1:10" x14ac:dyDescent="0.2">
      <c r="A2228" s="626"/>
      <c r="B2228" s="637"/>
      <c r="C2228" s="637"/>
      <c r="D2228" s="637"/>
      <c r="E2228" s="637"/>
      <c r="F2228" s="637"/>
      <c r="G2228" s="637"/>
      <c r="H2228" s="637"/>
      <c r="I2228" s="637"/>
      <c r="J2228" s="637"/>
    </row>
    <row r="2229" spans="1:10" x14ac:dyDescent="0.2">
      <c r="A2229" s="626"/>
      <c r="B2229" s="637"/>
      <c r="C2229" s="637"/>
      <c r="D2229" s="637"/>
      <c r="E2229" s="637"/>
      <c r="F2229" s="637"/>
      <c r="G2229" s="637"/>
      <c r="H2229" s="637"/>
      <c r="I2229" s="637"/>
      <c r="J2229" s="637"/>
    </row>
    <row r="2230" spans="1:10" x14ac:dyDescent="0.2">
      <c r="A2230" s="626"/>
      <c r="B2230" s="637"/>
      <c r="C2230" s="637"/>
      <c r="D2230" s="637"/>
      <c r="E2230" s="637"/>
      <c r="F2230" s="637"/>
      <c r="G2230" s="637"/>
      <c r="H2230" s="637"/>
      <c r="I2230" s="637"/>
      <c r="J2230" s="637"/>
    </row>
    <row r="2231" spans="1:10" x14ac:dyDescent="0.2">
      <c r="A2231" s="626"/>
      <c r="B2231" s="637"/>
      <c r="C2231" s="637"/>
      <c r="D2231" s="637"/>
      <c r="E2231" s="637"/>
      <c r="F2231" s="637"/>
      <c r="G2231" s="637"/>
      <c r="H2231" s="637"/>
      <c r="I2231" s="637"/>
      <c r="J2231" s="637"/>
    </row>
    <row r="2232" spans="1:10" x14ac:dyDescent="0.2">
      <c r="A2232" s="626"/>
      <c r="B2232" s="637"/>
      <c r="C2232" s="637"/>
      <c r="D2232" s="637"/>
      <c r="E2232" s="637"/>
      <c r="F2232" s="637"/>
      <c r="G2232" s="637"/>
      <c r="H2232" s="637"/>
      <c r="I2232" s="637"/>
      <c r="J2232" s="637"/>
    </row>
    <row r="2233" spans="1:10" x14ac:dyDescent="0.2">
      <c r="A2233" s="626"/>
      <c r="B2233" s="637"/>
      <c r="C2233" s="637"/>
      <c r="D2233" s="637"/>
      <c r="E2233" s="637"/>
      <c r="F2233" s="637"/>
      <c r="G2233" s="637"/>
      <c r="H2233" s="637"/>
      <c r="I2233" s="637"/>
      <c r="J2233" s="637"/>
    </row>
    <row r="2234" spans="1:10" x14ac:dyDescent="0.2">
      <c r="A2234" s="626"/>
      <c r="B2234" s="637"/>
      <c r="C2234" s="637"/>
      <c r="D2234" s="637"/>
      <c r="E2234" s="637"/>
      <c r="F2234" s="637"/>
      <c r="G2234" s="637"/>
      <c r="H2234" s="637"/>
      <c r="I2234" s="637"/>
      <c r="J2234" s="637"/>
    </row>
    <row r="2235" spans="1:10" x14ac:dyDescent="0.2">
      <c r="A2235" s="626"/>
      <c r="B2235" s="637"/>
      <c r="C2235" s="637"/>
      <c r="D2235" s="637"/>
      <c r="E2235" s="637"/>
      <c r="F2235" s="637"/>
      <c r="G2235" s="637"/>
      <c r="H2235" s="637"/>
      <c r="I2235" s="637"/>
      <c r="J2235" s="637"/>
    </row>
    <row r="2236" spans="1:10" x14ac:dyDescent="0.2">
      <c r="A2236" s="626"/>
      <c r="B2236" s="637"/>
      <c r="C2236" s="637"/>
      <c r="D2236" s="637"/>
      <c r="E2236" s="637"/>
      <c r="F2236" s="637"/>
      <c r="G2236" s="637"/>
      <c r="H2236" s="637"/>
      <c r="I2236" s="637"/>
      <c r="J2236" s="637"/>
    </row>
    <row r="2237" spans="1:10" x14ac:dyDescent="0.2">
      <c r="A2237" s="626"/>
      <c r="B2237" s="637"/>
      <c r="C2237" s="637"/>
      <c r="D2237" s="637"/>
      <c r="E2237" s="637"/>
      <c r="F2237" s="637"/>
      <c r="G2237" s="637"/>
      <c r="H2237" s="637"/>
      <c r="I2237" s="637"/>
      <c r="J2237" s="637"/>
    </row>
    <row r="2238" spans="1:10" x14ac:dyDescent="0.2">
      <c r="A2238" s="626"/>
      <c r="B2238" s="637"/>
      <c r="C2238" s="637"/>
      <c r="D2238" s="637"/>
      <c r="E2238" s="637"/>
      <c r="F2238" s="637"/>
      <c r="G2238" s="637"/>
      <c r="H2238" s="637"/>
      <c r="I2238" s="637"/>
      <c r="J2238" s="637"/>
    </row>
    <row r="2239" spans="1:10" x14ac:dyDescent="0.2">
      <c r="A2239" s="626"/>
      <c r="B2239" s="637"/>
      <c r="C2239" s="637"/>
      <c r="D2239" s="637"/>
      <c r="E2239" s="637"/>
      <c r="F2239" s="637"/>
      <c r="G2239" s="637"/>
      <c r="H2239" s="637"/>
      <c r="I2239" s="637"/>
      <c r="J2239" s="637"/>
    </row>
    <row r="2240" spans="1:10" x14ac:dyDescent="0.2">
      <c r="A2240" s="626"/>
      <c r="B2240" s="637"/>
      <c r="C2240" s="637"/>
      <c r="D2240" s="637"/>
      <c r="E2240" s="637"/>
      <c r="F2240" s="637"/>
      <c r="G2240" s="637"/>
      <c r="H2240" s="637"/>
      <c r="I2240" s="637"/>
      <c r="J2240" s="637"/>
    </row>
    <row r="2241" spans="1:10" x14ac:dyDescent="0.2">
      <c r="A2241" s="626"/>
      <c r="B2241" s="637"/>
      <c r="C2241" s="637"/>
      <c r="D2241" s="637"/>
      <c r="E2241" s="637"/>
      <c r="F2241" s="637"/>
      <c r="G2241" s="637"/>
      <c r="H2241" s="637"/>
      <c r="I2241" s="637"/>
      <c r="J2241" s="637"/>
    </row>
    <row r="2242" spans="1:10" x14ac:dyDescent="0.2">
      <c r="A2242" s="626"/>
      <c r="B2242" s="637"/>
      <c r="C2242" s="637"/>
      <c r="D2242" s="637"/>
      <c r="E2242" s="637"/>
      <c r="F2242" s="637"/>
      <c r="G2242" s="637"/>
      <c r="H2242" s="637"/>
      <c r="I2242" s="637"/>
      <c r="J2242" s="637"/>
    </row>
    <row r="2243" spans="1:10" x14ac:dyDescent="0.2">
      <c r="A2243" s="626"/>
      <c r="B2243" s="637"/>
      <c r="C2243" s="637"/>
      <c r="D2243" s="637"/>
      <c r="E2243" s="637"/>
      <c r="F2243" s="637"/>
      <c r="G2243" s="637"/>
      <c r="H2243" s="637"/>
      <c r="I2243" s="637"/>
      <c r="J2243" s="637"/>
    </row>
    <row r="2244" spans="1:10" x14ac:dyDescent="0.2">
      <c r="A2244" s="626"/>
      <c r="B2244" s="637"/>
      <c r="C2244" s="637"/>
      <c r="D2244" s="637"/>
      <c r="E2244" s="637"/>
      <c r="F2244" s="637"/>
      <c r="G2244" s="637"/>
      <c r="H2244" s="637"/>
      <c r="I2244" s="637"/>
      <c r="J2244" s="637"/>
    </row>
    <row r="2245" spans="1:10" x14ac:dyDescent="0.2">
      <c r="A2245" s="626"/>
      <c r="B2245" s="637"/>
      <c r="C2245" s="637"/>
      <c r="D2245" s="637"/>
      <c r="E2245" s="637"/>
      <c r="F2245" s="637"/>
      <c r="G2245" s="637"/>
      <c r="H2245" s="637"/>
      <c r="I2245" s="637"/>
      <c r="J2245" s="637"/>
    </row>
    <row r="2246" spans="1:10" x14ac:dyDescent="0.2">
      <c r="A2246" s="626"/>
      <c r="B2246" s="637"/>
      <c r="C2246" s="637"/>
      <c r="D2246" s="637"/>
      <c r="E2246" s="637"/>
      <c r="F2246" s="637"/>
      <c r="G2246" s="637"/>
      <c r="H2246" s="637"/>
      <c r="I2246" s="637"/>
      <c r="J2246" s="637"/>
    </row>
    <row r="2247" spans="1:10" x14ac:dyDescent="0.2">
      <c r="A2247" s="626"/>
      <c r="B2247" s="637"/>
      <c r="C2247" s="637"/>
      <c r="D2247" s="637"/>
      <c r="E2247" s="637"/>
      <c r="F2247" s="637"/>
      <c r="G2247" s="637"/>
      <c r="H2247" s="637"/>
      <c r="I2247" s="637"/>
      <c r="J2247" s="637"/>
    </row>
    <row r="2248" spans="1:10" x14ac:dyDescent="0.2">
      <c r="A2248" s="626"/>
      <c r="B2248" s="637"/>
      <c r="C2248" s="637"/>
      <c r="D2248" s="637"/>
      <c r="E2248" s="637"/>
      <c r="F2248" s="637"/>
      <c r="G2248" s="637"/>
      <c r="H2248" s="637"/>
      <c r="I2248" s="637"/>
      <c r="J2248" s="637"/>
    </row>
    <row r="2249" spans="1:10" x14ac:dyDescent="0.2">
      <c r="A2249" s="626"/>
      <c r="B2249" s="637"/>
      <c r="C2249" s="637"/>
      <c r="D2249" s="637"/>
      <c r="E2249" s="637"/>
      <c r="F2249" s="637"/>
      <c r="G2249" s="637"/>
      <c r="H2249" s="637"/>
      <c r="I2249" s="637"/>
      <c r="J2249" s="637"/>
    </row>
    <row r="2250" spans="1:10" x14ac:dyDescent="0.2">
      <c r="A2250" s="626"/>
      <c r="B2250" s="637"/>
      <c r="C2250" s="637"/>
      <c r="D2250" s="637"/>
      <c r="E2250" s="637"/>
      <c r="F2250" s="637"/>
      <c r="G2250" s="637"/>
      <c r="H2250" s="637"/>
      <c r="I2250" s="637"/>
      <c r="J2250" s="637"/>
    </row>
    <row r="2251" spans="1:10" x14ac:dyDescent="0.2">
      <c r="A2251" s="626"/>
      <c r="B2251" s="637"/>
      <c r="C2251" s="637"/>
      <c r="D2251" s="637"/>
      <c r="E2251" s="637"/>
      <c r="F2251" s="637"/>
      <c r="G2251" s="637"/>
      <c r="H2251" s="637"/>
      <c r="I2251" s="637"/>
      <c r="J2251" s="637"/>
    </row>
    <row r="2252" spans="1:10" x14ac:dyDescent="0.2">
      <c r="A2252" s="626"/>
      <c r="B2252" s="637"/>
      <c r="C2252" s="637"/>
      <c r="D2252" s="637"/>
      <c r="E2252" s="637"/>
      <c r="F2252" s="637"/>
      <c r="G2252" s="637"/>
      <c r="H2252" s="637"/>
      <c r="I2252" s="637"/>
      <c r="J2252" s="637"/>
    </row>
    <row r="2253" spans="1:10" x14ac:dyDescent="0.2">
      <c r="A2253" s="626"/>
      <c r="B2253" s="637"/>
      <c r="C2253" s="637"/>
      <c r="D2253" s="637"/>
      <c r="E2253" s="637"/>
      <c r="F2253" s="637"/>
      <c r="G2253" s="637"/>
      <c r="H2253" s="637"/>
      <c r="I2253" s="637"/>
      <c r="J2253" s="637"/>
    </row>
    <row r="2254" spans="1:10" x14ac:dyDescent="0.2">
      <c r="A2254" s="626"/>
      <c r="B2254" s="637"/>
      <c r="C2254" s="637"/>
      <c r="D2254" s="637"/>
      <c r="E2254" s="637"/>
      <c r="F2254" s="637"/>
      <c r="G2254" s="637"/>
      <c r="H2254" s="637"/>
      <c r="I2254" s="637"/>
      <c r="J2254" s="637"/>
    </row>
    <row r="2255" spans="1:10" x14ac:dyDescent="0.2">
      <c r="A2255" s="626"/>
      <c r="B2255" s="637"/>
      <c r="C2255" s="637"/>
      <c r="D2255" s="637"/>
      <c r="E2255" s="637"/>
      <c r="F2255" s="637"/>
      <c r="G2255" s="637"/>
      <c r="H2255" s="637"/>
      <c r="I2255" s="637"/>
      <c r="J2255" s="637"/>
    </row>
    <row r="2256" spans="1:10" x14ac:dyDescent="0.2">
      <c r="A2256" s="626"/>
      <c r="B2256" s="637"/>
      <c r="C2256" s="637"/>
      <c r="D2256" s="637"/>
      <c r="E2256" s="637"/>
      <c r="F2256" s="637"/>
      <c r="G2256" s="637"/>
      <c r="H2256" s="637"/>
      <c r="I2256" s="637"/>
      <c r="J2256" s="637"/>
    </row>
    <row r="2257" spans="1:10" x14ac:dyDescent="0.2">
      <c r="A2257" s="626"/>
      <c r="B2257" s="637"/>
      <c r="C2257" s="637"/>
      <c r="D2257" s="637"/>
      <c r="E2257" s="637"/>
      <c r="F2257" s="637"/>
      <c r="G2257" s="637"/>
      <c r="H2257" s="637"/>
      <c r="I2257" s="637"/>
      <c r="J2257" s="637"/>
    </row>
    <row r="2258" spans="1:10" x14ac:dyDescent="0.2">
      <c r="A2258" s="626"/>
      <c r="B2258" s="637"/>
      <c r="C2258" s="637"/>
      <c r="D2258" s="637"/>
      <c r="E2258" s="637"/>
      <c r="F2258" s="637"/>
      <c r="G2258" s="637"/>
      <c r="H2258" s="637"/>
      <c r="I2258" s="637"/>
      <c r="J2258" s="637"/>
    </row>
    <row r="2259" spans="1:10" x14ac:dyDescent="0.2">
      <c r="A2259" s="626"/>
      <c r="B2259" s="637"/>
      <c r="C2259" s="637"/>
      <c r="D2259" s="637"/>
      <c r="E2259" s="637"/>
      <c r="F2259" s="637"/>
      <c r="G2259" s="637"/>
      <c r="H2259" s="637"/>
      <c r="I2259" s="637"/>
      <c r="J2259" s="637"/>
    </row>
    <row r="2260" spans="1:10" x14ac:dyDescent="0.2">
      <c r="A2260" s="626"/>
      <c r="B2260" s="637"/>
      <c r="C2260" s="637"/>
      <c r="D2260" s="637"/>
      <c r="E2260" s="637"/>
      <c r="F2260" s="637"/>
      <c r="G2260" s="637"/>
      <c r="H2260" s="637"/>
      <c r="I2260" s="637"/>
      <c r="J2260" s="637"/>
    </row>
    <row r="2261" spans="1:10" x14ac:dyDescent="0.2">
      <c r="A2261" s="626"/>
      <c r="B2261" s="637"/>
      <c r="C2261" s="637"/>
      <c r="D2261" s="637"/>
      <c r="E2261" s="637"/>
      <c r="F2261" s="637"/>
      <c r="G2261" s="637"/>
      <c r="H2261" s="637"/>
      <c r="I2261" s="637"/>
      <c r="J2261" s="637"/>
    </row>
    <row r="2262" spans="1:10" x14ac:dyDescent="0.2">
      <c r="A2262" s="626"/>
      <c r="B2262" s="637"/>
      <c r="C2262" s="637"/>
      <c r="D2262" s="637"/>
      <c r="E2262" s="637"/>
      <c r="F2262" s="637"/>
      <c r="G2262" s="637"/>
      <c r="H2262" s="637"/>
      <c r="I2262" s="637"/>
      <c r="J2262" s="637"/>
    </row>
    <row r="2263" spans="1:10" x14ac:dyDescent="0.2">
      <c r="A2263" s="626"/>
      <c r="B2263" s="637"/>
      <c r="C2263" s="637"/>
      <c r="D2263" s="637"/>
      <c r="E2263" s="637"/>
      <c r="F2263" s="637"/>
      <c r="G2263" s="637"/>
      <c r="H2263" s="637"/>
      <c r="I2263" s="637"/>
      <c r="J2263" s="637"/>
    </row>
    <row r="2264" spans="1:10" x14ac:dyDescent="0.2">
      <c r="A2264" s="626"/>
      <c r="B2264" s="637"/>
      <c r="C2264" s="637"/>
      <c r="D2264" s="637"/>
      <c r="E2264" s="637"/>
      <c r="F2264" s="637"/>
      <c r="G2264" s="637"/>
      <c r="H2264" s="637"/>
      <c r="I2264" s="637"/>
      <c r="J2264" s="637"/>
    </row>
    <row r="2265" spans="1:10" x14ac:dyDescent="0.2">
      <c r="A2265" s="626"/>
      <c r="B2265" s="637"/>
      <c r="C2265" s="637"/>
      <c r="D2265" s="637"/>
      <c r="E2265" s="637"/>
      <c r="F2265" s="637"/>
      <c r="G2265" s="637"/>
      <c r="H2265" s="637"/>
      <c r="I2265" s="637"/>
      <c r="J2265" s="637"/>
    </row>
    <row r="2266" spans="1:10" x14ac:dyDescent="0.2">
      <c r="A2266" s="626"/>
      <c r="B2266" s="637"/>
      <c r="C2266" s="637"/>
      <c r="D2266" s="637"/>
      <c r="E2266" s="637"/>
      <c r="F2266" s="637"/>
      <c r="G2266" s="637"/>
      <c r="H2266" s="637"/>
      <c r="I2266" s="637"/>
      <c r="J2266" s="637"/>
    </row>
    <row r="2267" spans="1:10" x14ac:dyDescent="0.2">
      <c r="A2267" s="626"/>
      <c r="B2267" s="637"/>
      <c r="C2267" s="637"/>
      <c r="D2267" s="637"/>
      <c r="E2267" s="637"/>
      <c r="F2267" s="637"/>
      <c r="G2267" s="637"/>
      <c r="H2267" s="637"/>
      <c r="I2267" s="637"/>
      <c r="J2267" s="637"/>
    </row>
    <row r="2268" spans="1:10" x14ac:dyDescent="0.2">
      <c r="A2268" s="626"/>
      <c r="B2268" s="637"/>
      <c r="C2268" s="637"/>
      <c r="D2268" s="637"/>
      <c r="E2268" s="637"/>
      <c r="F2268" s="637"/>
      <c r="G2268" s="637"/>
      <c r="H2268" s="637"/>
      <c r="I2268" s="637"/>
      <c r="J2268" s="637"/>
    </row>
    <row r="2269" spans="1:10" x14ac:dyDescent="0.2">
      <c r="A2269" s="626"/>
      <c r="B2269" s="637"/>
      <c r="C2269" s="637"/>
      <c r="D2269" s="637"/>
      <c r="E2269" s="637"/>
      <c r="F2269" s="637"/>
      <c r="G2269" s="637"/>
      <c r="H2269" s="637"/>
      <c r="I2269" s="637"/>
      <c r="J2269" s="637"/>
    </row>
    <row r="2270" spans="1:10" x14ac:dyDescent="0.2">
      <c r="A2270" s="626"/>
      <c r="B2270" s="637"/>
      <c r="C2270" s="637"/>
      <c r="D2270" s="637"/>
      <c r="E2270" s="637"/>
      <c r="F2270" s="637"/>
      <c r="G2270" s="637"/>
      <c r="H2270" s="637"/>
      <c r="I2270" s="637"/>
      <c r="J2270" s="637"/>
    </row>
    <row r="2271" spans="1:10" x14ac:dyDescent="0.2">
      <c r="A2271" s="626"/>
      <c r="B2271" s="637"/>
      <c r="C2271" s="637"/>
      <c r="D2271" s="637"/>
      <c r="E2271" s="637"/>
      <c r="F2271" s="637"/>
      <c r="G2271" s="637"/>
      <c r="H2271" s="637"/>
      <c r="I2271" s="637"/>
      <c r="J2271" s="637"/>
    </row>
    <row r="2272" spans="1:10" x14ac:dyDescent="0.2">
      <c r="A2272" s="626"/>
      <c r="B2272" s="637"/>
      <c r="C2272" s="637"/>
      <c r="D2272" s="637"/>
      <c r="E2272" s="637"/>
      <c r="F2272" s="637"/>
      <c r="G2272" s="637"/>
      <c r="H2272" s="637"/>
      <c r="I2272" s="637"/>
      <c r="J2272" s="637"/>
    </row>
    <row r="2273" spans="1:10" x14ac:dyDescent="0.2">
      <c r="A2273" s="626"/>
      <c r="B2273" s="637"/>
      <c r="C2273" s="637"/>
      <c r="D2273" s="637"/>
      <c r="E2273" s="637"/>
      <c r="F2273" s="637"/>
      <c r="G2273" s="637"/>
      <c r="H2273" s="637"/>
      <c r="I2273" s="637"/>
      <c r="J2273" s="637"/>
    </row>
    <row r="2274" spans="1:10" x14ac:dyDescent="0.2">
      <c r="A2274" s="626"/>
      <c r="B2274" s="637"/>
      <c r="C2274" s="637"/>
      <c r="D2274" s="637"/>
      <c r="E2274" s="637"/>
      <c r="F2274" s="637"/>
      <c r="G2274" s="637"/>
      <c r="H2274" s="637"/>
      <c r="I2274" s="637"/>
      <c r="J2274" s="637"/>
    </row>
    <row r="2275" spans="1:10" x14ac:dyDescent="0.2">
      <c r="A2275" s="626"/>
      <c r="B2275" s="637"/>
      <c r="C2275" s="637"/>
      <c r="D2275" s="637"/>
      <c r="E2275" s="637"/>
      <c r="F2275" s="637"/>
      <c r="G2275" s="637"/>
      <c r="H2275" s="637"/>
      <c r="I2275" s="637"/>
      <c r="J2275" s="637"/>
    </row>
    <row r="2276" spans="1:10" x14ac:dyDescent="0.2">
      <c r="A2276" s="626"/>
      <c r="B2276" s="637"/>
      <c r="C2276" s="637"/>
      <c r="D2276" s="637"/>
      <c r="E2276" s="637"/>
      <c r="F2276" s="637"/>
      <c r="G2276" s="637"/>
      <c r="H2276" s="637"/>
      <c r="I2276" s="637"/>
      <c r="J2276" s="637"/>
    </row>
    <row r="2277" spans="1:10" x14ac:dyDescent="0.2">
      <c r="A2277" s="626"/>
      <c r="B2277" s="637"/>
      <c r="C2277" s="637"/>
      <c r="D2277" s="637"/>
      <c r="E2277" s="637"/>
      <c r="F2277" s="637"/>
      <c r="G2277" s="637"/>
      <c r="H2277" s="637"/>
      <c r="I2277" s="637"/>
      <c r="J2277" s="637"/>
    </row>
    <row r="2278" spans="1:10" x14ac:dyDescent="0.2">
      <c r="A2278" s="626"/>
      <c r="B2278" s="637"/>
      <c r="C2278" s="637"/>
      <c r="D2278" s="637"/>
      <c r="E2278" s="637"/>
      <c r="F2278" s="637"/>
      <c r="G2278" s="637"/>
      <c r="H2278" s="637"/>
      <c r="I2278" s="637"/>
      <c r="J2278" s="637"/>
    </row>
    <row r="2279" spans="1:10" x14ac:dyDescent="0.2">
      <c r="A2279" s="626"/>
      <c r="B2279" s="637"/>
      <c r="C2279" s="637"/>
      <c r="D2279" s="637"/>
      <c r="E2279" s="637"/>
      <c r="F2279" s="637"/>
      <c r="G2279" s="637"/>
      <c r="H2279" s="637"/>
      <c r="I2279" s="637"/>
      <c r="J2279" s="637"/>
    </row>
    <row r="2280" spans="1:10" x14ac:dyDescent="0.2">
      <c r="A2280" s="626"/>
      <c r="B2280" s="637"/>
      <c r="C2280" s="637"/>
      <c r="D2280" s="637"/>
      <c r="E2280" s="637"/>
      <c r="F2280" s="637"/>
      <c r="G2280" s="637"/>
      <c r="H2280" s="637"/>
      <c r="I2280" s="637"/>
      <c r="J2280" s="637"/>
    </row>
    <row r="2281" spans="1:10" x14ac:dyDescent="0.2">
      <c r="A2281" s="626"/>
      <c r="B2281" s="637"/>
      <c r="C2281" s="637"/>
      <c r="D2281" s="637"/>
      <c r="E2281" s="637"/>
      <c r="F2281" s="637"/>
      <c r="G2281" s="637"/>
      <c r="H2281" s="637"/>
      <c r="I2281" s="637"/>
      <c r="J2281" s="637"/>
    </row>
    <row r="2282" spans="1:10" x14ac:dyDescent="0.2">
      <c r="A2282" s="626"/>
      <c r="B2282" s="637"/>
      <c r="C2282" s="637"/>
      <c r="D2282" s="637"/>
      <c r="E2282" s="637"/>
      <c r="F2282" s="637"/>
      <c r="G2282" s="637"/>
      <c r="H2282" s="637"/>
      <c r="I2282" s="637"/>
      <c r="J2282" s="637"/>
    </row>
    <row r="2283" spans="1:10" x14ac:dyDescent="0.2">
      <c r="A2283" s="626"/>
      <c r="B2283" s="637"/>
      <c r="C2283" s="637"/>
      <c r="D2283" s="637"/>
      <c r="E2283" s="637"/>
      <c r="F2283" s="637"/>
      <c r="G2283" s="637"/>
      <c r="H2283" s="637"/>
      <c r="I2283" s="637"/>
      <c r="J2283" s="637"/>
    </row>
    <row r="2284" spans="1:10" x14ac:dyDescent="0.2">
      <c r="A2284" s="626"/>
      <c r="B2284" s="637"/>
      <c r="C2284" s="637"/>
      <c r="D2284" s="637"/>
      <c r="E2284" s="637"/>
      <c r="F2284" s="637"/>
      <c r="G2284" s="637"/>
      <c r="H2284" s="637"/>
      <c r="I2284" s="637"/>
      <c r="J2284" s="637"/>
    </row>
    <row r="2285" spans="1:10" x14ac:dyDescent="0.2">
      <c r="A2285" s="625"/>
      <c r="B2285" s="637"/>
      <c r="C2285" s="637"/>
      <c r="D2285" s="637"/>
      <c r="E2285" s="637"/>
      <c r="F2285" s="637"/>
      <c r="G2285" s="637"/>
      <c r="H2285" s="637"/>
      <c r="I2285" s="637"/>
      <c r="J2285" s="637"/>
    </row>
    <row r="2286" spans="1:10" x14ac:dyDescent="0.2">
      <c r="A2286" s="626"/>
      <c r="B2286" s="637"/>
      <c r="C2286" s="637"/>
      <c r="D2286" s="637"/>
      <c r="E2286" s="637"/>
      <c r="F2286" s="637"/>
      <c r="G2286" s="637"/>
      <c r="H2286" s="637"/>
      <c r="I2286" s="637"/>
      <c r="J2286" s="637"/>
    </row>
    <row r="2287" spans="1:10" x14ac:dyDescent="0.2">
      <c r="A2287" s="626"/>
      <c r="B2287" s="637"/>
      <c r="C2287" s="637"/>
      <c r="D2287" s="637"/>
      <c r="E2287" s="637"/>
      <c r="F2287" s="637"/>
      <c r="G2287" s="637"/>
      <c r="H2287" s="637"/>
      <c r="I2287" s="637"/>
      <c r="J2287" s="637"/>
    </row>
    <row r="2288" spans="1:10" x14ac:dyDescent="0.2">
      <c r="A2288" s="626"/>
      <c r="B2288" s="637"/>
      <c r="C2288" s="637"/>
      <c r="D2288" s="637"/>
      <c r="E2288" s="637"/>
      <c r="F2288" s="637"/>
      <c r="G2288" s="637"/>
      <c r="H2288" s="637"/>
      <c r="I2288" s="637"/>
      <c r="J2288" s="637"/>
    </row>
    <row r="2289" spans="1:10" x14ac:dyDescent="0.2">
      <c r="A2289" s="626"/>
      <c r="B2289" s="637"/>
      <c r="C2289" s="637"/>
      <c r="D2289" s="637"/>
      <c r="E2289" s="637"/>
      <c r="F2289" s="637"/>
      <c r="G2289" s="637"/>
      <c r="H2289" s="637"/>
      <c r="I2289" s="637"/>
      <c r="J2289" s="637"/>
    </row>
    <row r="2290" spans="1:10" x14ac:dyDescent="0.2">
      <c r="A2290" s="626"/>
      <c r="B2290" s="637"/>
      <c r="C2290" s="637"/>
      <c r="D2290" s="637"/>
      <c r="E2290" s="637"/>
      <c r="F2290" s="637"/>
      <c r="G2290" s="637"/>
      <c r="H2290" s="637"/>
      <c r="I2290" s="637"/>
      <c r="J2290" s="637"/>
    </row>
    <row r="2291" spans="1:10" x14ac:dyDescent="0.2">
      <c r="A2291" s="626"/>
      <c r="B2291" s="637"/>
      <c r="C2291" s="637"/>
      <c r="D2291" s="637"/>
      <c r="E2291" s="637"/>
      <c r="F2291" s="637"/>
      <c r="G2291" s="637"/>
      <c r="H2291" s="637"/>
      <c r="I2291" s="637"/>
      <c r="J2291" s="637"/>
    </row>
    <row r="2292" spans="1:10" x14ac:dyDescent="0.2">
      <c r="A2292" s="626"/>
      <c r="B2292" s="637"/>
      <c r="C2292" s="637"/>
      <c r="D2292" s="637"/>
      <c r="E2292" s="637"/>
      <c r="F2292" s="637"/>
      <c r="G2292" s="637"/>
      <c r="H2292" s="637"/>
      <c r="I2292" s="637"/>
      <c r="J2292" s="637"/>
    </row>
    <row r="2293" spans="1:10" x14ac:dyDescent="0.2">
      <c r="A2293" s="626"/>
      <c r="B2293" s="637"/>
      <c r="C2293" s="637"/>
      <c r="D2293" s="637"/>
      <c r="E2293" s="637"/>
      <c r="F2293" s="637"/>
      <c r="G2293" s="637"/>
      <c r="H2293" s="637"/>
      <c r="I2293" s="637"/>
      <c r="J2293" s="637"/>
    </row>
    <row r="2294" spans="1:10" x14ac:dyDescent="0.2">
      <c r="A2294" s="626"/>
      <c r="B2294" s="637"/>
      <c r="C2294" s="637"/>
      <c r="D2294" s="637"/>
      <c r="E2294" s="637"/>
      <c r="F2294" s="637"/>
      <c r="G2294" s="637"/>
      <c r="H2294" s="637"/>
      <c r="I2294" s="637"/>
      <c r="J2294" s="637"/>
    </row>
    <row r="2295" spans="1:10" x14ac:dyDescent="0.2">
      <c r="A2295" s="626"/>
      <c r="B2295" s="637"/>
      <c r="C2295" s="637"/>
      <c r="D2295" s="637"/>
      <c r="E2295" s="637"/>
      <c r="F2295" s="637"/>
      <c r="G2295" s="637"/>
      <c r="H2295" s="637"/>
      <c r="I2295" s="637"/>
      <c r="J2295" s="637"/>
    </row>
    <row r="2296" spans="1:10" x14ac:dyDescent="0.2">
      <c r="A2296" s="626"/>
      <c r="B2296" s="637"/>
      <c r="C2296" s="637"/>
      <c r="D2296" s="637"/>
      <c r="E2296" s="637"/>
      <c r="F2296" s="637"/>
      <c r="G2296" s="637"/>
      <c r="H2296" s="637"/>
      <c r="I2296" s="637"/>
      <c r="J2296" s="637"/>
    </row>
    <row r="2297" spans="1:10" x14ac:dyDescent="0.2">
      <c r="A2297" s="626"/>
      <c r="B2297" s="637"/>
      <c r="C2297" s="637"/>
      <c r="D2297" s="637"/>
      <c r="E2297" s="637"/>
      <c r="F2297" s="637"/>
      <c r="G2297" s="637"/>
      <c r="H2297" s="637"/>
      <c r="I2297" s="637"/>
      <c r="J2297" s="637"/>
    </row>
    <row r="2298" spans="1:10" x14ac:dyDescent="0.2">
      <c r="A2298" s="626"/>
      <c r="B2298" s="637"/>
      <c r="C2298" s="637"/>
      <c r="D2298" s="637"/>
      <c r="E2298" s="637"/>
      <c r="F2298" s="637"/>
      <c r="G2298" s="637"/>
      <c r="H2298" s="637"/>
      <c r="I2298" s="637"/>
      <c r="J2298" s="637"/>
    </row>
    <row r="2299" spans="1:10" x14ac:dyDescent="0.2">
      <c r="A2299" s="626"/>
      <c r="B2299" s="637"/>
      <c r="C2299" s="637"/>
      <c r="D2299" s="637"/>
      <c r="E2299" s="637"/>
      <c r="F2299" s="637"/>
      <c r="G2299" s="637"/>
      <c r="H2299" s="637"/>
      <c r="I2299" s="637"/>
      <c r="J2299" s="637"/>
    </row>
    <row r="2300" spans="1:10" x14ac:dyDescent="0.2">
      <c r="A2300" s="626"/>
      <c r="B2300" s="637"/>
      <c r="C2300" s="637"/>
      <c r="D2300" s="637"/>
      <c r="E2300" s="637"/>
      <c r="F2300" s="637"/>
      <c r="G2300" s="637"/>
      <c r="H2300" s="637"/>
      <c r="I2300" s="637"/>
      <c r="J2300" s="637"/>
    </row>
    <row r="2301" spans="1:10" x14ac:dyDescent="0.2">
      <c r="A2301" s="626"/>
      <c r="B2301" s="637"/>
      <c r="C2301" s="637"/>
      <c r="D2301" s="637"/>
      <c r="E2301" s="637"/>
      <c r="F2301" s="637"/>
      <c r="G2301" s="637"/>
      <c r="H2301" s="637"/>
      <c r="I2301" s="637"/>
      <c r="J2301" s="637"/>
    </row>
    <row r="2302" spans="1:10" x14ac:dyDescent="0.2">
      <c r="A2302" s="626"/>
      <c r="B2302" s="637"/>
      <c r="C2302" s="637"/>
      <c r="D2302" s="637"/>
      <c r="E2302" s="637"/>
      <c r="F2302" s="637"/>
      <c r="G2302" s="637"/>
      <c r="H2302" s="637"/>
      <c r="I2302" s="637"/>
      <c r="J2302" s="637"/>
    </row>
    <row r="2303" spans="1:10" x14ac:dyDescent="0.2">
      <c r="A2303" s="626"/>
      <c r="B2303" s="637"/>
      <c r="C2303" s="637"/>
      <c r="D2303" s="637"/>
      <c r="E2303" s="637"/>
      <c r="F2303" s="637"/>
      <c r="G2303" s="637"/>
      <c r="H2303" s="637"/>
      <c r="I2303" s="637"/>
      <c r="J2303" s="637"/>
    </row>
    <row r="2304" spans="1:10" x14ac:dyDescent="0.2">
      <c r="A2304" s="626"/>
      <c r="B2304" s="637"/>
      <c r="C2304" s="637"/>
      <c r="D2304" s="637"/>
      <c r="E2304" s="637"/>
      <c r="F2304" s="637"/>
      <c r="G2304" s="637"/>
      <c r="H2304" s="637"/>
      <c r="I2304" s="637"/>
      <c r="J2304" s="637"/>
    </row>
    <row r="2305" spans="1:10" x14ac:dyDescent="0.2">
      <c r="A2305" s="626"/>
      <c r="B2305" s="637"/>
      <c r="C2305" s="637"/>
      <c r="D2305" s="637"/>
      <c r="E2305" s="637"/>
      <c r="F2305" s="637"/>
      <c r="G2305" s="637"/>
      <c r="H2305" s="637"/>
      <c r="I2305" s="637"/>
      <c r="J2305" s="637"/>
    </row>
    <row r="2306" spans="1:10" x14ac:dyDescent="0.2">
      <c r="A2306" s="626"/>
      <c r="B2306" s="637"/>
      <c r="C2306" s="637"/>
      <c r="D2306" s="637"/>
      <c r="E2306" s="637"/>
      <c r="F2306" s="637"/>
      <c r="G2306" s="637"/>
      <c r="H2306" s="637"/>
      <c r="I2306" s="637"/>
      <c r="J2306" s="637"/>
    </row>
    <row r="2307" spans="1:10" x14ac:dyDescent="0.2">
      <c r="A2307" s="626"/>
      <c r="B2307" s="637"/>
      <c r="C2307" s="637"/>
      <c r="D2307" s="637"/>
      <c r="E2307" s="637"/>
      <c r="F2307" s="637"/>
      <c r="G2307" s="637"/>
      <c r="H2307" s="637"/>
      <c r="I2307" s="637"/>
      <c r="J2307" s="637"/>
    </row>
    <row r="2308" spans="1:10" x14ac:dyDescent="0.2">
      <c r="A2308" s="626"/>
      <c r="B2308" s="637"/>
      <c r="C2308" s="637"/>
      <c r="D2308" s="637"/>
      <c r="E2308" s="637"/>
      <c r="F2308" s="637"/>
      <c r="G2308" s="637"/>
      <c r="H2308" s="637"/>
      <c r="I2308" s="637"/>
      <c r="J2308" s="637"/>
    </row>
    <row r="2309" spans="1:10" x14ac:dyDescent="0.2">
      <c r="A2309" s="626"/>
      <c r="B2309" s="637"/>
      <c r="C2309" s="637"/>
      <c r="D2309" s="637"/>
      <c r="E2309" s="637"/>
      <c r="F2309" s="637"/>
      <c r="G2309" s="637"/>
      <c r="H2309" s="637"/>
      <c r="I2309" s="637"/>
      <c r="J2309" s="637"/>
    </row>
    <row r="2310" spans="1:10" x14ac:dyDescent="0.2">
      <c r="A2310" s="626"/>
      <c r="B2310" s="637"/>
      <c r="C2310" s="637"/>
      <c r="D2310" s="637"/>
      <c r="E2310" s="637"/>
      <c r="F2310" s="637"/>
      <c r="G2310" s="637"/>
      <c r="H2310" s="637"/>
      <c r="I2310" s="637"/>
      <c r="J2310" s="637"/>
    </row>
    <row r="2311" spans="1:10" x14ac:dyDescent="0.2">
      <c r="A2311" s="626"/>
      <c r="B2311" s="637"/>
      <c r="C2311" s="637"/>
      <c r="D2311" s="637"/>
      <c r="E2311" s="637"/>
      <c r="F2311" s="637"/>
      <c r="G2311" s="637"/>
      <c r="H2311" s="637"/>
      <c r="I2311" s="637"/>
      <c r="J2311" s="637"/>
    </row>
    <row r="2312" spans="1:10" x14ac:dyDescent="0.2">
      <c r="A2312" s="626"/>
      <c r="B2312" s="637"/>
      <c r="C2312" s="637"/>
      <c r="D2312" s="637"/>
      <c r="E2312" s="637"/>
      <c r="F2312" s="637"/>
      <c r="G2312" s="637"/>
      <c r="H2312" s="637"/>
      <c r="I2312" s="637"/>
      <c r="J2312" s="637"/>
    </row>
    <row r="2313" spans="1:10" x14ac:dyDescent="0.2">
      <c r="A2313" s="626"/>
      <c r="B2313" s="637"/>
      <c r="C2313" s="637"/>
      <c r="D2313" s="637"/>
      <c r="E2313" s="637"/>
      <c r="F2313" s="637"/>
      <c r="G2313" s="637"/>
      <c r="H2313" s="637"/>
      <c r="I2313" s="637"/>
      <c r="J2313" s="637"/>
    </row>
    <row r="2314" spans="1:10" x14ac:dyDescent="0.2">
      <c r="A2314" s="626"/>
      <c r="B2314" s="637"/>
      <c r="C2314" s="637"/>
      <c r="D2314" s="637"/>
      <c r="E2314" s="637"/>
      <c r="F2314" s="637"/>
      <c r="G2314" s="637"/>
      <c r="H2314" s="637"/>
      <c r="I2314" s="637"/>
      <c r="J2314" s="637"/>
    </row>
    <row r="2315" spans="1:10" x14ac:dyDescent="0.2">
      <c r="A2315" s="626"/>
      <c r="B2315" s="637"/>
      <c r="C2315" s="637"/>
      <c r="D2315" s="637"/>
      <c r="E2315" s="637"/>
      <c r="F2315" s="637"/>
      <c r="G2315" s="637"/>
      <c r="H2315" s="637"/>
      <c r="I2315" s="637"/>
      <c r="J2315" s="637"/>
    </row>
    <row r="2316" spans="1:10" x14ac:dyDescent="0.2">
      <c r="A2316" s="626"/>
      <c r="B2316" s="637"/>
      <c r="C2316" s="637"/>
      <c r="D2316" s="637"/>
      <c r="E2316" s="637"/>
      <c r="F2316" s="637"/>
      <c r="G2316" s="637"/>
      <c r="H2316" s="637"/>
      <c r="I2316" s="637"/>
      <c r="J2316" s="637"/>
    </row>
    <row r="2317" spans="1:10" x14ac:dyDescent="0.2">
      <c r="A2317" s="626"/>
      <c r="B2317" s="637"/>
      <c r="C2317" s="637"/>
      <c r="D2317" s="637"/>
      <c r="E2317" s="637"/>
      <c r="F2317" s="637"/>
      <c r="G2317" s="637"/>
      <c r="H2317" s="637"/>
      <c r="I2317" s="637"/>
      <c r="J2317" s="637"/>
    </row>
    <row r="2318" spans="1:10" x14ac:dyDescent="0.2">
      <c r="A2318" s="626"/>
      <c r="B2318" s="637"/>
      <c r="C2318" s="637"/>
      <c r="D2318" s="637"/>
      <c r="E2318" s="637"/>
      <c r="F2318" s="637"/>
      <c r="G2318" s="637"/>
      <c r="H2318" s="637"/>
      <c r="I2318" s="637"/>
      <c r="J2318" s="637"/>
    </row>
    <row r="2319" spans="1:10" x14ac:dyDescent="0.2">
      <c r="A2319" s="626"/>
      <c r="B2319" s="637"/>
      <c r="C2319" s="637"/>
      <c r="D2319" s="637"/>
      <c r="E2319" s="637"/>
      <c r="F2319" s="637"/>
      <c r="G2319" s="637"/>
      <c r="H2319" s="637"/>
      <c r="I2319" s="637"/>
      <c r="J2319" s="637"/>
    </row>
    <row r="2320" spans="1:10" x14ac:dyDescent="0.2">
      <c r="A2320" s="626"/>
      <c r="B2320" s="637"/>
      <c r="C2320" s="637"/>
      <c r="D2320" s="637"/>
      <c r="E2320" s="637"/>
      <c r="F2320" s="637"/>
      <c r="G2320" s="637"/>
      <c r="H2320" s="637"/>
      <c r="I2320" s="637"/>
      <c r="J2320" s="637"/>
    </row>
    <row r="2321" spans="1:10" x14ac:dyDescent="0.2">
      <c r="A2321" s="626"/>
      <c r="B2321" s="637"/>
      <c r="C2321" s="637"/>
      <c r="D2321" s="637"/>
      <c r="E2321" s="637"/>
      <c r="F2321" s="637"/>
      <c r="G2321" s="637"/>
      <c r="H2321" s="637"/>
      <c r="I2321" s="637"/>
      <c r="J2321" s="637"/>
    </row>
    <row r="2322" spans="1:10" x14ac:dyDescent="0.2">
      <c r="A2322" s="626"/>
      <c r="B2322" s="637"/>
      <c r="C2322" s="637"/>
      <c r="D2322" s="637"/>
      <c r="E2322" s="637"/>
      <c r="F2322" s="637"/>
      <c r="G2322" s="637"/>
      <c r="H2322" s="637"/>
      <c r="I2322" s="637"/>
      <c r="J2322" s="637"/>
    </row>
    <row r="2323" spans="1:10" x14ac:dyDescent="0.2">
      <c r="A2323" s="626"/>
      <c r="B2323" s="637"/>
      <c r="C2323" s="637"/>
      <c r="D2323" s="637"/>
      <c r="E2323" s="637"/>
      <c r="F2323" s="637"/>
      <c r="G2323" s="637"/>
      <c r="H2323" s="637"/>
      <c r="I2323" s="637"/>
      <c r="J2323" s="637"/>
    </row>
    <row r="2324" spans="1:10" x14ac:dyDescent="0.2">
      <c r="A2324" s="626"/>
      <c r="B2324" s="637"/>
      <c r="C2324" s="637"/>
      <c r="D2324" s="637"/>
      <c r="E2324" s="637"/>
      <c r="F2324" s="637"/>
      <c r="G2324" s="637"/>
      <c r="H2324" s="637"/>
      <c r="I2324" s="637"/>
      <c r="J2324" s="637"/>
    </row>
    <row r="2325" spans="1:10" x14ac:dyDescent="0.2">
      <c r="A2325" s="626"/>
      <c r="B2325" s="637"/>
      <c r="C2325" s="637"/>
      <c r="D2325" s="637"/>
      <c r="E2325" s="637"/>
      <c r="F2325" s="637"/>
      <c r="G2325" s="637"/>
      <c r="H2325" s="637"/>
      <c r="I2325" s="637"/>
      <c r="J2325" s="637"/>
    </row>
    <row r="2326" spans="1:10" x14ac:dyDescent="0.2">
      <c r="A2326" s="626"/>
      <c r="B2326" s="637"/>
      <c r="C2326" s="637"/>
      <c r="D2326" s="637"/>
      <c r="E2326" s="637"/>
      <c r="F2326" s="637"/>
      <c r="G2326" s="637"/>
      <c r="H2326" s="637"/>
      <c r="I2326" s="637"/>
      <c r="J2326" s="637"/>
    </row>
    <row r="2327" spans="1:10" x14ac:dyDescent="0.2">
      <c r="A2327" s="626"/>
      <c r="B2327" s="637"/>
      <c r="C2327" s="637"/>
      <c r="D2327" s="637"/>
      <c r="E2327" s="637"/>
      <c r="F2327" s="637"/>
      <c r="G2327" s="637"/>
      <c r="H2327" s="637"/>
      <c r="I2327" s="637"/>
      <c r="J2327" s="637"/>
    </row>
    <row r="2328" spans="1:10" x14ac:dyDescent="0.2">
      <c r="A2328" s="626"/>
      <c r="B2328" s="637"/>
      <c r="C2328" s="637"/>
      <c r="D2328" s="637"/>
      <c r="E2328" s="637"/>
      <c r="F2328" s="637"/>
      <c r="G2328" s="637"/>
      <c r="H2328" s="637"/>
      <c r="I2328" s="637"/>
      <c r="J2328" s="637"/>
    </row>
    <row r="2329" spans="1:10" x14ac:dyDescent="0.2">
      <c r="A2329" s="626"/>
      <c r="B2329" s="637"/>
      <c r="C2329" s="637"/>
      <c r="D2329" s="637"/>
      <c r="E2329" s="637"/>
      <c r="F2329" s="637"/>
      <c r="G2329" s="637"/>
      <c r="H2329" s="637"/>
      <c r="I2329" s="637"/>
      <c r="J2329" s="637"/>
    </row>
    <row r="2330" spans="1:10" x14ac:dyDescent="0.2">
      <c r="A2330" s="626"/>
      <c r="B2330" s="637"/>
      <c r="C2330" s="637"/>
      <c r="D2330" s="637"/>
      <c r="E2330" s="637"/>
      <c r="F2330" s="637"/>
      <c r="G2330" s="637"/>
      <c r="H2330" s="637"/>
      <c r="I2330" s="637"/>
      <c r="J2330" s="637"/>
    </row>
    <row r="2331" spans="1:10" x14ac:dyDescent="0.2">
      <c r="A2331" s="626"/>
      <c r="B2331" s="637"/>
      <c r="C2331" s="637"/>
      <c r="D2331" s="637"/>
      <c r="E2331" s="637"/>
      <c r="F2331" s="637"/>
      <c r="G2331" s="637"/>
      <c r="H2331" s="637"/>
      <c r="I2331" s="637"/>
      <c r="J2331" s="637"/>
    </row>
    <row r="2332" spans="1:10" x14ac:dyDescent="0.2">
      <c r="A2332" s="626"/>
      <c r="B2332" s="637"/>
      <c r="C2332" s="637"/>
      <c r="D2332" s="637"/>
      <c r="E2332" s="637"/>
      <c r="F2332" s="637"/>
      <c r="G2332" s="637"/>
      <c r="H2332" s="637"/>
      <c r="I2332" s="637"/>
      <c r="J2332" s="637"/>
    </row>
    <row r="2333" spans="1:10" x14ac:dyDescent="0.2">
      <c r="A2333" s="626"/>
      <c r="B2333" s="637"/>
      <c r="C2333" s="637"/>
      <c r="D2333" s="637"/>
      <c r="E2333" s="637"/>
      <c r="F2333" s="637"/>
      <c r="G2333" s="637"/>
      <c r="H2333" s="637"/>
      <c r="I2333" s="637"/>
      <c r="J2333" s="637"/>
    </row>
    <row r="2334" spans="1:10" x14ac:dyDescent="0.2">
      <c r="A2334" s="626"/>
      <c r="B2334" s="637"/>
      <c r="C2334" s="637"/>
      <c r="D2334" s="637"/>
      <c r="E2334" s="637"/>
      <c r="F2334" s="637"/>
      <c r="G2334" s="637"/>
      <c r="H2334" s="637"/>
      <c r="I2334" s="637"/>
      <c r="J2334" s="637"/>
    </row>
    <row r="2335" spans="1:10" x14ac:dyDescent="0.2">
      <c r="A2335" s="626"/>
      <c r="B2335" s="637"/>
      <c r="C2335" s="637"/>
      <c r="D2335" s="637"/>
      <c r="E2335" s="637"/>
      <c r="F2335" s="637"/>
      <c r="G2335" s="637"/>
      <c r="H2335" s="637"/>
      <c r="I2335" s="637"/>
      <c r="J2335" s="637"/>
    </row>
    <row r="2336" spans="1:10" x14ac:dyDescent="0.2">
      <c r="A2336" s="626"/>
      <c r="B2336" s="637"/>
      <c r="C2336" s="637"/>
      <c r="D2336" s="637"/>
      <c r="E2336" s="637"/>
      <c r="F2336" s="637"/>
      <c r="G2336" s="637"/>
      <c r="H2336" s="637"/>
      <c r="I2336" s="637"/>
      <c r="J2336" s="637"/>
    </row>
    <row r="2337" spans="1:10" x14ac:dyDescent="0.2">
      <c r="A2337" s="626"/>
      <c r="B2337" s="637"/>
      <c r="C2337" s="637"/>
      <c r="D2337" s="637"/>
      <c r="E2337" s="637"/>
      <c r="F2337" s="637"/>
      <c r="G2337" s="637"/>
      <c r="H2337" s="637"/>
      <c r="I2337" s="637"/>
      <c r="J2337" s="637"/>
    </row>
    <row r="2338" spans="1:10" x14ac:dyDescent="0.2">
      <c r="A2338" s="626"/>
      <c r="B2338" s="637"/>
      <c r="C2338" s="637"/>
      <c r="D2338" s="637"/>
      <c r="E2338" s="637"/>
      <c r="F2338" s="637"/>
      <c r="G2338" s="637"/>
      <c r="H2338" s="637"/>
      <c r="I2338" s="637"/>
      <c r="J2338" s="637"/>
    </row>
    <row r="2339" spans="1:10" x14ac:dyDescent="0.2">
      <c r="A2339" s="626"/>
      <c r="B2339" s="637"/>
      <c r="C2339" s="637"/>
      <c r="D2339" s="637"/>
      <c r="E2339" s="637"/>
      <c r="F2339" s="637"/>
      <c r="G2339" s="637"/>
      <c r="H2339" s="637"/>
      <c r="I2339" s="637"/>
      <c r="J2339" s="637"/>
    </row>
    <row r="2340" spans="1:10" x14ac:dyDescent="0.2">
      <c r="A2340" s="626"/>
      <c r="B2340" s="637"/>
      <c r="C2340" s="637"/>
      <c r="D2340" s="637"/>
      <c r="E2340" s="637"/>
      <c r="F2340" s="637"/>
      <c r="G2340" s="637"/>
      <c r="H2340" s="637"/>
      <c r="I2340" s="637"/>
      <c r="J2340" s="637"/>
    </row>
    <row r="2341" spans="1:10" x14ac:dyDescent="0.2">
      <c r="A2341" s="626"/>
      <c r="B2341" s="637"/>
      <c r="C2341" s="637"/>
      <c r="D2341" s="637"/>
      <c r="E2341" s="637"/>
      <c r="F2341" s="637"/>
      <c r="G2341" s="637"/>
      <c r="H2341" s="637"/>
      <c r="I2341" s="637"/>
      <c r="J2341" s="637"/>
    </row>
    <row r="2342" spans="1:10" x14ac:dyDescent="0.2">
      <c r="A2342" s="626"/>
      <c r="B2342" s="637"/>
      <c r="C2342" s="637"/>
      <c r="D2342" s="637"/>
      <c r="E2342" s="637"/>
      <c r="F2342" s="637"/>
      <c r="G2342" s="637"/>
      <c r="H2342" s="637"/>
      <c r="I2342" s="637"/>
      <c r="J2342" s="637"/>
    </row>
    <row r="2343" spans="1:10" x14ac:dyDescent="0.2">
      <c r="A2343" s="626"/>
      <c r="B2343" s="637"/>
      <c r="C2343" s="637"/>
      <c r="D2343" s="637"/>
      <c r="E2343" s="637"/>
      <c r="F2343" s="637"/>
      <c r="G2343" s="637"/>
      <c r="H2343" s="637"/>
      <c r="I2343" s="637"/>
      <c r="J2343" s="637"/>
    </row>
    <row r="2344" spans="1:10" x14ac:dyDescent="0.2">
      <c r="A2344" s="626"/>
      <c r="B2344" s="637"/>
      <c r="C2344" s="637"/>
      <c r="D2344" s="637"/>
      <c r="E2344" s="637"/>
      <c r="F2344" s="637"/>
      <c r="G2344" s="637"/>
      <c r="H2344" s="637"/>
      <c r="I2344" s="637"/>
      <c r="J2344" s="637"/>
    </row>
    <row r="2345" spans="1:10" x14ac:dyDescent="0.2">
      <c r="A2345" s="626"/>
      <c r="B2345" s="637"/>
      <c r="C2345" s="637"/>
      <c r="D2345" s="637"/>
      <c r="E2345" s="637"/>
      <c r="F2345" s="637"/>
      <c r="G2345" s="637"/>
      <c r="H2345" s="637"/>
      <c r="I2345" s="637"/>
      <c r="J2345" s="637"/>
    </row>
    <row r="2346" spans="1:10" x14ac:dyDescent="0.2">
      <c r="A2346" s="626"/>
      <c r="B2346" s="637"/>
      <c r="C2346" s="637"/>
      <c r="D2346" s="637"/>
      <c r="E2346" s="637"/>
      <c r="F2346" s="637"/>
      <c r="G2346" s="637"/>
      <c r="H2346" s="637"/>
      <c r="I2346" s="637"/>
      <c r="J2346" s="637"/>
    </row>
    <row r="2347" spans="1:10" x14ac:dyDescent="0.2">
      <c r="A2347" s="626"/>
      <c r="B2347" s="637"/>
      <c r="C2347" s="637"/>
      <c r="D2347" s="637"/>
      <c r="E2347" s="637"/>
      <c r="F2347" s="637"/>
      <c r="G2347" s="637"/>
      <c r="H2347" s="637"/>
      <c r="I2347" s="637"/>
      <c r="J2347" s="637"/>
    </row>
    <row r="2348" spans="1:10" x14ac:dyDescent="0.2">
      <c r="A2348" s="626"/>
      <c r="B2348" s="637"/>
      <c r="C2348" s="637"/>
      <c r="D2348" s="637"/>
      <c r="E2348" s="637"/>
      <c r="F2348" s="637"/>
      <c r="G2348" s="637"/>
      <c r="H2348" s="637"/>
      <c r="I2348" s="637"/>
      <c r="J2348" s="637"/>
    </row>
    <row r="2349" spans="1:10" x14ac:dyDescent="0.2">
      <c r="A2349" s="626"/>
      <c r="B2349" s="637"/>
      <c r="C2349" s="637"/>
      <c r="D2349" s="637"/>
      <c r="E2349" s="637"/>
      <c r="F2349" s="637"/>
      <c r="G2349" s="637"/>
      <c r="H2349" s="637"/>
      <c r="I2349" s="637"/>
      <c r="J2349" s="637"/>
    </row>
    <row r="2350" spans="1:10" x14ac:dyDescent="0.2">
      <c r="A2350" s="626"/>
      <c r="B2350" s="637"/>
      <c r="C2350" s="637"/>
      <c r="D2350" s="637"/>
      <c r="E2350" s="637"/>
      <c r="F2350" s="637"/>
      <c r="G2350" s="637"/>
      <c r="H2350" s="637"/>
      <c r="I2350" s="637"/>
      <c r="J2350" s="637"/>
    </row>
    <row r="2351" spans="1:10" x14ac:dyDescent="0.2">
      <c r="A2351" s="626"/>
      <c r="B2351" s="637"/>
      <c r="C2351" s="637"/>
      <c r="D2351" s="637"/>
      <c r="E2351" s="637"/>
      <c r="F2351" s="637"/>
      <c r="G2351" s="637"/>
      <c r="H2351" s="637"/>
      <c r="I2351" s="637"/>
      <c r="J2351" s="637"/>
    </row>
    <row r="2352" spans="1:10" x14ac:dyDescent="0.2">
      <c r="A2352" s="626"/>
      <c r="B2352" s="637"/>
      <c r="C2352" s="637"/>
      <c r="D2352" s="637"/>
      <c r="E2352" s="637"/>
      <c r="F2352" s="637"/>
      <c r="G2352" s="637"/>
      <c r="H2352" s="637"/>
      <c r="I2352" s="637"/>
      <c r="J2352" s="637"/>
    </row>
    <row r="2353" spans="1:10" x14ac:dyDescent="0.2">
      <c r="A2353" s="626"/>
      <c r="B2353" s="637"/>
      <c r="C2353" s="637"/>
      <c r="D2353" s="637"/>
      <c r="E2353" s="637"/>
      <c r="F2353" s="637"/>
      <c r="G2353" s="637"/>
      <c r="H2353" s="637"/>
      <c r="I2353" s="637"/>
      <c r="J2353" s="637"/>
    </row>
    <row r="2354" spans="1:10" x14ac:dyDescent="0.2">
      <c r="A2354" s="626"/>
      <c r="B2354" s="637"/>
      <c r="C2354" s="637"/>
      <c r="D2354" s="637"/>
      <c r="E2354" s="637"/>
      <c r="F2354" s="637"/>
      <c r="G2354" s="637"/>
      <c r="H2354" s="637"/>
      <c r="I2354" s="637"/>
      <c r="J2354" s="637"/>
    </row>
    <row r="2355" spans="1:10" x14ac:dyDescent="0.2">
      <c r="A2355" s="626"/>
      <c r="B2355" s="637"/>
      <c r="C2355" s="637"/>
      <c r="D2355" s="637"/>
      <c r="E2355" s="637"/>
      <c r="F2355" s="637"/>
      <c r="G2355" s="637"/>
      <c r="H2355" s="637"/>
      <c r="I2355" s="637"/>
      <c r="J2355" s="637"/>
    </row>
    <row r="2356" spans="1:10" x14ac:dyDescent="0.2">
      <c r="A2356" s="626"/>
      <c r="B2356" s="637"/>
      <c r="C2356" s="637"/>
      <c r="D2356" s="637"/>
      <c r="E2356" s="637"/>
      <c r="F2356" s="637"/>
      <c r="G2356" s="637"/>
      <c r="H2356" s="637"/>
      <c r="I2356" s="637"/>
      <c r="J2356" s="637"/>
    </row>
    <row r="2357" spans="1:10" x14ac:dyDescent="0.2">
      <c r="A2357" s="626"/>
      <c r="B2357" s="637"/>
      <c r="C2357" s="637"/>
      <c r="D2357" s="637"/>
      <c r="E2357" s="637"/>
      <c r="F2357" s="637"/>
      <c r="G2357" s="637"/>
      <c r="H2357" s="637"/>
      <c r="I2357" s="637"/>
      <c r="J2357" s="637"/>
    </row>
    <row r="2358" spans="1:10" x14ac:dyDescent="0.2">
      <c r="A2358" s="626"/>
      <c r="B2358" s="637"/>
      <c r="C2358" s="637"/>
      <c r="D2358" s="637"/>
      <c r="E2358" s="637"/>
      <c r="F2358" s="637"/>
      <c r="G2358" s="637"/>
      <c r="H2358" s="637"/>
      <c r="I2358" s="637"/>
      <c r="J2358" s="637"/>
    </row>
    <row r="2359" spans="1:10" x14ac:dyDescent="0.2">
      <c r="A2359" s="626"/>
      <c r="B2359" s="637"/>
      <c r="C2359" s="637"/>
      <c r="D2359" s="637"/>
      <c r="E2359" s="637"/>
      <c r="F2359" s="637"/>
      <c r="G2359" s="637"/>
      <c r="H2359" s="637"/>
      <c r="I2359" s="637"/>
      <c r="J2359" s="637"/>
    </row>
    <row r="2360" spans="1:10" x14ac:dyDescent="0.2">
      <c r="A2360" s="626"/>
      <c r="B2360" s="637"/>
      <c r="C2360" s="637"/>
      <c r="D2360" s="637"/>
      <c r="E2360" s="637"/>
      <c r="F2360" s="637"/>
      <c r="G2360" s="637"/>
      <c r="H2360" s="637"/>
      <c r="I2360" s="637"/>
      <c r="J2360" s="637"/>
    </row>
    <row r="2361" spans="1:10" x14ac:dyDescent="0.2">
      <c r="A2361" s="626"/>
      <c r="B2361" s="637"/>
      <c r="C2361" s="637"/>
      <c r="D2361" s="637"/>
      <c r="E2361" s="637"/>
      <c r="F2361" s="637"/>
      <c r="G2361" s="637"/>
      <c r="H2361" s="637"/>
      <c r="I2361" s="637"/>
      <c r="J2361" s="637"/>
    </row>
    <row r="2362" spans="1:10" x14ac:dyDescent="0.2">
      <c r="A2362" s="626"/>
      <c r="B2362" s="637"/>
      <c r="C2362" s="637"/>
      <c r="D2362" s="637"/>
      <c r="E2362" s="637"/>
      <c r="F2362" s="637"/>
      <c r="G2362" s="637"/>
      <c r="H2362" s="637"/>
      <c r="I2362" s="637"/>
      <c r="J2362" s="637"/>
    </row>
    <row r="2363" spans="1:10" x14ac:dyDescent="0.2">
      <c r="A2363" s="626"/>
      <c r="B2363" s="637"/>
      <c r="C2363" s="637"/>
      <c r="D2363" s="637"/>
      <c r="E2363" s="637"/>
      <c r="F2363" s="637"/>
      <c r="G2363" s="637"/>
      <c r="H2363" s="637"/>
      <c r="I2363" s="637"/>
      <c r="J2363" s="637"/>
    </row>
    <row r="2364" spans="1:10" x14ac:dyDescent="0.2">
      <c r="A2364" s="626"/>
      <c r="B2364" s="637"/>
      <c r="C2364" s="637"/>
      <c r="D2364" s="637"/>
      <c r="E2364" s="637"/>
      <c r="F2364" s="637"/>
      <c r="G2364" s="637"/>
      <c r="H2364" s="637"/>
      <c r="I2364" s="637"/>
      <c r="J2364" s="637"/>
    </row>
    <row r="2365" spans="1:10" x14ac:dyDescent="0.2">
      <c r="A2365" s="626"/>
      <c r="B2365" s="637"/>
      <c r="C2365" s="637"/>
      <c r="D2365" s="637"/>
      <c r="E2365" s="637"/>
      <c r="F2365" s="637"/>
      <c r="G2365" s="637"/>
      <c r="H2365" s="637"/>
      <c r="I2365" s="637"/>
      <c r="J2365" s="637"/>
    </row>
    <row r="2366" spans="1:10" x14ac:dyDescent="0.2">
      <c r="A2366" s="626"/>
      <c r="B2366" s="637"/>
      <c r="C2366" s="637"/>
      <c r="D2366" s="637"/>
      <c r="E2366" s="637"/>
      <c r="F2366" s="637"/>
      <c r="G2366" s="637"/>
      <c r="H2366" s="637"/>
      <c r="I2366" s="637"/>
      <c r="J2366" s="637"/>
    </row>
    <row r="2367" spans="1:10" x14ac:dyDescent="0.2">
      <c r="A2367" s="626"/>
      <c r="B2367" s="637"/>
      <c r="C2367" s="637"/>
      <c r="D2367" s="637"/>
      <c r="E2367" s="637"/>
      <c r="F2367" s="637"/>
      <c r="G2367" s="637"/>
      <c r="H2367" s="637"/>
      <c r="I2367" s="637"/>
      <c r="J2367" s="637"/>
    </row>
    <row r="2368" spans="1:10" x14ac:dyDescent="0.2">
      <c r="A2368" s="626"/>
      <c r="B2368" s="637"/>
      <c r="C2368" s="637"/>
      <c r="D2368" s="637"/>
      <c r="E2368" s="637"/>
      <c r="F2368" s="637"/>
      <c r="G2368" s="637"/>
      <c r="H2368" s="637"/>
      <c r="I2368" s="637"/>
      <c r="J2368" s="637"/>
    </row>
    <row r="2369" spans="1:10" x14ac:dyDescent="0.2">
      <c r="A2369" s="626"/>
      <c r="B2369" s="637"/>
      <c r="C2369" s="637"/>
      <c r="D2369" s="637"/>
      <c r="E2369" s="637"/>
      <c r="F2369" s="637"/>
      <c r="G2369" s="637"/>
      <c r="H2369" s="637"/>
      <c r="I2369" s="637"/>
      <c r="J2369" s="637"/>
    </row>
    <row r="2370" spans="1:10" x14ac:dyDescent="0.2">
      <c r="A2370" s="626"/>
      <c r="B2370" s="637"/>
      <c r="C2370" s="637"/>
      <c r="D2370" s="637"/>
      <c r="E2370" s="637"/>
      <c r="F2370" s="637"/>
      <c r="G2370" s="637"/>
      <c r="H2370" s="637"/>
      <c r="I2370" s="637"/>
      <c r="J2370" s="637"/>
    </row>
    <row r="2371" spans="1:10" x14ac:dyDescent="0.2">
      <c r="A2371" s="626"/>
      <c r="B2371" s="637"/>
      <c r="C2371" s="637"/>
      <c r="D2371" s="637"/>
      <c r="E2371" s="637"/>
      <c r="F2371" s="637"/>
      <c r="G2371" s="637"/>
      <c r="H2371" s="637"/>
      <c r="I2371" s="637"/>
      <c r="J2371" s="637"/>
    </row>
    <row r="2372" spans="1:10" x14ac:dyDescent="0.2">
      <c r="A2372" s="626"/>
      <c r="B2372" s="637"/>
      <c r="C2372" s="637"/>
      <c r="D2372" s="637"/>
      <c r="E2372" s="637"/>
      <c r="F2372" s="637"/>
      <c r="G2372" s="637"/>
      <c r="H2372" s="637"/>
      <c r="I2372" s="637"/>
      <c r="J2372" s="637"/>
    </row>
    <row r="2373" spans="1:10" x14ac:dyDescent="0.2">
      <c r="A2373" s="626"/>
      <c r="B2373" s="637"/>
      <c r="C2373" s="637"/>
      <c r="D2373" s="637"/>
      <c r="E2373" s="637"/>
      <c r="F2373" s="637"/>
      <c r="G2373" s="637"/>
      <c r="H2373" s="637"/>
      <c r="I2373" s="637"/>
      <c r="J2373" s="637"/>
    </row>
    <row r="2374" spans="1:10" x14ac:dyDescent="0.2">
      <c r="A2374" s="626"/>
      <c r="B2374" s="637"/>
      <c r="C2374" s="637"/>
      <c r="D2374" s="637"/>
      <c r="E2374" s="637"/>
      <c r="F2374" s="637"/>
      <c r="G2374" s="637"/>
      <c r="H2374" s="637"/>
      <c r="I2374" s="637"/>
      <c r="J2374" s="637"/>
    </row>
    <row r="2375" spans="1:10" x14ac:dyDescent="0.2">
      <c r="A2375" s="626"/>
      <c r="B2375" s="637"/>
      <c r="C2375" s="637"/>
      <c r="D2375" s="637"/>
      <c r="E2375" s="637"/>
      <c r="F2375" s="637"/>
      <c r="G2375" s="637"/>
      <c r="H2375" s="637"/>
      <c r="I2375" s="637"/>
      <c r="J2375" s="637"/>
    </row>
    <row r="2376" spans="1:10" x14ac:dyDescent="0.2">
      <c r="A2376" s="626"/>
      <c r="B2376" s="637"/>
      <c r="C2376" s="637"/>
      <c r="D2376" s="637"/>
      <c r="E2376" s="637"/>
      <c r="F2376" s="637"/>
      <c r="G2376" s="637"/>
      <c r="H2376" s="637"/>
      <c r="I2376" s="637"/>
      <c r="J2376" s="637"/>
    </row>
    <row r="2377" spans="1:10" x14ac:dyDescent="0.2">
      <c r="A2377" s="626"/>
      <c r="B2377" s="637"/>
      <c r="C2377" s="637"/>
      <c r="D2377" s="637"/>
      <c r="E2377" s="637"/>
      <c r="F2377" s="637"/>
      <c r="G2377" s="637"/>
      <c r="H2377" s="637"/>
      <c r="I2377" s="637"/>
      <c r="J2377" s="637"/>
    </row>
    <row r="2378" spans="1:10" x14ac:dyDescent="0.2">
      <c r="A2378" s="626"/>
      <c r="B2378" s="637"/>
      <c r="C2378" s="637"/>
      <c r="D2378" s="637"/>
      <c r="E2378" s="637"/>
      <c r="F2378" s="637"/>
      <c r="G2378" s="637"/>
      <c r="H2378" s="637"/>
      <c r="I2378" s="637"/>
      <c r="J2378" s="637"/>
    </row>
    <row r="2379" spans="1:10" x14ac:dyDescent="0.2">
      <c r="A2379" s="626"/>
      <c r="B2379" s="637"/>
      <c r="C2379" s="637"/>
      <c r="D2379" s="637"/>
      <c r="E2379" s="637"/>
      <c r="F2379" s="637"/>
      <c r="G2379" s="637"/>
      <c r="H2379" s="637"/>
      <c r="I2379" s="637"/>
      <c r="J2379" s="637"/>
    </row>
    <row r="2380" spans="1:10" x14ac:dyDescent="0.2">
      <c r="A2380" s="626"/>
      <c r="B2380" s="637"/>
      <c r="C2380" s="637"/>
      <c r="D2380" s="637"/>
      <c r="E2380" s="637"/>
      <c r="F2380" s="637"/>
      <c r="G2380" s="637"/>
      <c r="H2380" s="637"/>
      <c r="I2380" s="637"/>
      <c r="J2380" s="637"/>
    </row>
    <row r="2381" spans="1:10" x14ac:dyDescent="0.2">
      <c r="A2381" s="626"/>
      <c r="B2381" s="637"/>
      <c r="C2381" s="637"/>
      <c r="D2381" s="637"/>
      <c r="E2381" s="637"/>
      <c r="F2381" s="637"/>
      <c r="G2381" s="637"/>
      <c r="H2381" s="637"/>
      <c r="I2381" s="637"/>
      <c r="J2381" s="637"/>
    </row>
    <row r="2382" spans="1:10" x14ac:dyDescent="0.2">
      <c r="A2382" s="626"/>
      <c r="B2382" s="637"/>
      <c r="C2382" s="637"/>
      <c r="D2382" s="637"/>
      <c r="E2382" s="637"/>
      <c r="F2382" s="637"/>
      <c r="G2382" s="637"/>
      <c r="H2382" s="637"/>
      <c r="I2382" s="637"/>
      <c r="J2382" s="637"/>
    </row>
    <row r="2383" spans="1:10" x14ac:dyDescent="0.2">
      <c r="A2383" s="626"/>
      <c r="B2383" s="637"/>
      <c r="C2383" s="637"/>
      <c r="D2383" s="637"/>
      <c r="E2383" s="637"/>
      <c r="F2383" s="637"/>
      <c r="G2383" s="637"/>
      <c r="H2383" s="637"/>
      <c r="I2383" s="637"/>
      <c r="J2383" s="637"/>
    </row>
    <row r="2384" spans="1:10" x14ac:dyDescent="0.2">
      <c r="A2384" s="626"/>
      <c r="B2384" s="637"/>
      <c r="C2384" s="637"/>
      <c r="D2384" s="637"/>
      <c r="E2384" s="637"/>
      <c r="F2384" s="637"/>
      <c r="G2384" s="637"/>
      <c r="H2384" s="637"/>
      <c r="I2384" s="637"/>
      <c r="J2384" s="637"/>
    </row>
    <row r="2385" spans="1:10" x14ac:dyDescent="0.2">
      <c r="A2385" s="626"/>
      <c r="B2385" s="637"/>
      <c r="C2385" s="637"/>
      <c r="D2385" s="637"/>
      <c r="E2385" s="637"/>
      <c r="F2385" s="637"/>
      <c r="G2385" s="637"/>
      <c r="H2385" s="637"/>
      <c r="I2385" s="637"/>
      <c r="J2385" s="637"/>
    </row>
    <row r="2386" spans="1:10" x14ac:dyDescent="0.2">
      <c r="A2386" s="626"/>
      <c r="B2386" s="637"/>
      <c r="C2386" s="637"/>
      <c r="D2386" s="637"/>
      <c r="E2386" s="637"/>
      <c r="F2386" s="637"/>
      <c r="G2386" s="637"/>
      <c r="H2386" s="637"/>
      <c r="I2386" s="637"/>
      <c r="J2386" s="637"/>
    </row>
    <row r="2387" spans="1:10" x14ac:dyDescent="0.2">
      <c r="A2387" s="626"/>
      <c r="B2387" s="637"/>
      <c r="C2387" s="637"/>
      <c r="D2387" s="637"/>
      <c r="E2387" s="637"/>
      <c r="F2387" s="637"/>
      <c r="G2387" s="637"/>
      <c r="H2387" s="637"/>
      <c r="I2387" s="637"/>
      <c r="J2387" s="637"/>
    </row>
    <row r="2388" spans="1:10" x14ac:dyDescent="0.2">
      <c r="A2388" s="626"/>
      <c r="B2388" s="637"/>
      <c r="C2388" s="637"/>
      <c r="D2388" s="637"/>
      <c r="E2388" s="637"/>
      <c r="F2388" s="637"/>
      <c r="G2388" s="637"/>
      <c r="H2388" s="637"/>
      <c r="I2388" s="637"/>
      <c r="J2388" s="637"/>
    </row>
    <row r="2389" spans="1:10" x14ac:dyDescent="0.2">
      <c r="A2389" s="626"/>
      <c r="B2389" s="637"/>
      <c r="C2389" s="637"/>
      <c r="D2389" s="637"/>
      <c r="E2389" s="637"/>
      <c r="F2389" s="637"/>
      <c r="G2389" s="637"/>
      <c r="H2389" s="637"/>
      <c r="I2389" s="637"/>
      <c r="J2389" s="637"/>
    </row>
    <row r="2390" spans="1:10" x14ac:dyDescent="0.2">
      <c r="A2390" s="626"/>
      <c r="B2390" s="637"/>
      <c r="C2390" s="637"/>
      <c r="D2390" s="637"/>
      <c r="E2390" s="637"/>
      <c r="F2390" s="637"/>
      <c r="G2390" s="637"/>
      <c r="H2390" s="637"/>
      <c r="I2390" s="637"/>
      <c r="J2390" s="637"/>
    </row>
    <row r="2391" spans="1:10" x14ac:dyDescent="0.2">
      <c r="A2391" s="626"/>
      <c r="B2391" s="637"/>
      <c r="C2391" s="637"/>
      <c r="D2391" s="637"/>
      <c r="E2391" s="637"/>
      <c r="F2391" s="637"/>
      <c r="G2391" s="637"/>
      <c r="H2391" s="637"/>
      <c r="I2391" s="637"/>
      <c r="J2391" s="637"/>
    </row>
    <row r="2392" spans="1:10" x14ac:dyDescent="0.2">
      <c r="A2392" s="626"/>
      <c r="B2392" s="637"/>
      <c r="C2392" s="637"/>
      <c r="D2392" s="637"/>
      <c r="E2392" s="637"/>
      <c r="F2392" s="637"/>
      <c r="G2392" s="637"/>
      <c r="H2392" s="637"/>
      <c r="I2392" s="637"/>
      <c r="J2392" s="637"/>
    </row>
    <row r="2393" spans="1:10" x14ac:dyDescent="0.2">
      <c r="A2393" s="626"/>
      <c r="B2393" s="637"/>
      <c r="C2393" s="637"/>
      <c r="D2393" s="637"/>
      <c r="E2393" s="637"/>
      <c r="F2393" s="637"/>
      <c r="G2393" s="637"/>
      <c r="H2393" s="637"/>
      <c r="I2393" s="637"/>
      <c r="J2393" s="637"/>
    </row>
    <row r="2394" spans="1:10" x14ac:dyDescent="0.2">
      <c r="A2394" s="626"/>
      <c r="B2394" s="637"/>
      <c r="C2394" s="637"/>
      <c r="D2394" s="637"/>
      <c r="E2394" s="637"/>
      <c r="F2394" s="637"/>
      <c r="G2394" s="637"/>
      <c r="H2394" s="637"/>
      <c r="I2394" s="637"/>
      <c r="J2394" s="637"/>
    </row>
    <row r="2395" spans="1:10" x14ac:dyDescent="0.2">
      <c r="A2395" s="626"/>
      <c r="B2395" s="637"/>
      <c r="C2395" s="637"/>
      <c r="D2395" s="637"/>
      <c r="E2395" s="637"/>
      <c r="F2395" s="637"/>
      <c r="G2395" s="637"/>
      <c r="H2395" s="637"/>
      <c r="I2395" s="637"/>
      <c r="J2395" s="637"/>
    </row>
    <row r="2396" spans="1:10" x14ac:dyDescent="0.2">
      <c r="A2396" s="626"/>
      <c r="B2396" s="637"/>
      <c r="C2396" s="637"/>
      <c r="D2396" s="637"/>
      <c r="E2396" s="637"/>
      <c r="F2396" s="637"/>
      <c r="G2396" s="637"/>
      <c r="H2396" s="637"/>
      <c r="I2396" s="637"/>
      <c r="J2396" s="637"/>
    </row>
    <row r="2397" spans="1:10" x14ac:dyDescent="0.2">
      <c r="A2397" s="626"/>
      <c r="B2397" s="637"/>
      <c r="C2397" s="637"/>
      <c r="D2397" s="637"/>
      <c r="E2397" s="637"/>
      <c r="F2397" s="637"/>
      <c r="G2397" s="637"/>
      <c r="H2397" s="637"/>
      <c r="I2397" s="637"/>
      <c r="J2397" s="637"/>
    </row>
    <row r="2398" spans="1:10" x14ac:dyDescent="0.2">
      <c r="A2398" s="626"/>
      <c r="B2398" s="637"/>
      <c r="C2398" s="637"/>
      <c r="D2398" s="637"/>
      <c r="E2398" s="637"/>
      <c r="F2398" s="637"/>
      <c r="G2398" s="637"/>
      <c r="H2398" s="637"/>
      <c r="I2398" s="637"/>
      <c r="J2398" s="637"/>
    </row>
    <row r="2399" spans="1:10" x14ac:dyDescent="0.2">
      <c r="A2399" s="626"/>
      <c r="B2399" s="637"/>
      <c r="C2399" s="637"/>
      <c r="D2399" s="637"/>
      <c r="E2399" s="637"/>
      <c r="F2399" s="637"/>
      <c r="G2399" s="637"/>
      <c r="H2399" s="637"/>
      <c r="I2399" s="637"/>
      <c r="J2399" s="637"/>
    </row>
    <row r="2400" spans="1:10" x14ac:dyDescent="0.2">
      <c r="A2400" s="626"/>
      <c r="B2400" s="637"/>
      <c r="C2400" s="637"/>
      <c r="D2400" s="637"/>
      <c r="E2400" s="637"/>
      <c r="F2400" s="637"/>
      <c r="G2400" s="637"/>
      <c r="H2400" s="637"/>
      <c r="I2400" s="637"/>
      <c r="J2400" s="637"/>
    </row>
    <row r="2401" spans="1:10" x14ac:dyDescent="0.2">
      <c r="A2401" s="626"/>
      <c r="B2401" s="637"/>
      <c r="C2401" s="637"/>
      <c r="D2401" s="637"/>
      <c r="E2401" s="637"/>
      <c r="F2401" s="637"/>
      <c r="G2401" s="637"/>
      <c r="H2401" s="637"/>
      <c r="I2401" s="637"/>
      <c r="J2401" s="637"/>
    </row>
    <row r="2402" spans="1:10" x14ac:dyDescent="0.2">
      <c r="A2402" s="626"/>
      <c r="B2402" s="637"/>
      <c r="C2402" s="637"/>
      <c r="D2402" s="637"/>
      <c r="E2402" s="637"/>
      <c r="F2402" s="637"/>
      <c r="G2402" s="637"/>
      <c r="H2402" s="637"/>
      <c r="I2402" s="637"/>
      <c r="J2402" s="637"/>
    </row>
    <row r="2403" spans="1:10" x14ac:dyDescent="0.2">
      <c r="A2403" s="626"/>
      <c r="B2403" s="637"/>
      <c r="C2403" s="637"/>
      <c r="D2403" s="637"/>
      <c r="E2403" s="637"/>
      <c r="F2403" s="637"/>
      <c r="G2403" s="637"/>
      <c r="H2403" s="637"/>
      <c r="I2403" s="637"/>
      <c r="J2403" s="637"/>
    </row>
    <row r="2404" spans="1:10" x14ac:dyDescent="0.2">
      <c r="A2404" s="626"/>
      <c r="B2404" s="637"/>
      <c r="C2404" s="637"/>
      <c r="D2404" s="637"/>
      <c r="E2404" s="637"/>
      <c r="F2404" s="637"/>
      <c r="G2404" s="637"/>
      <c r="H2404" s="637"/>
      <c r="I2404" s="637"/>
      <c r="J2404" s="637"/>
    </row>
    <row r="2405" spans="1:10" x14ac:dyDescent="0.2">
      <c r="A2405" s="626"/>
      <c r="B2405" s="637"/>
      <c r="C2405" s="637"/>
      <c r="D2405" s="637"/>
      <c r="E2405" s="637"/>
      <c r="F2405" s="637"/>
      <c r="G2405" s="637"/>
      <c r="H2405" s="637"/>
      <c r="I2405" s="637"/>
      <c r="J2405" s="637"/>
    </row>
    <row r="2406" spans="1:10" x14ac:dyDescent="0.2">
      <c r="A2406" s="626"/>
      <c r="B2406" s="637"/>
      <c r="C2406" s="637"/>
      <c r="D2406" s="637"/>
      <c r="E2406" s="637"/>
      <c r="F2406" s="637"/>
      <c r="G2406" s="637"/>
      <c r="H2406" s="637"/>
      <c r="I2406" s="637"/>
      <c r="J2406" s="637"/>
    </row>
    <row r="2407" spans="1:10" x14ac:dyDescent="0.2">
      <c r="A2407" s="626"/>
      <c r="B2407" s="637"/>
      <c r="C2407" s="637"/>
      <c r="D2407" s="637"/>
      <c r="E2407" s="637"/>
      <c r="F2407" s="637"/>
      <c r="G2407" s="637"/>
      <c r="H2407" s="637"/>
      <c r="I2407" s="637"/>
      <c r="J2407" s="637"/>
    </row>
    <row r="2408" spans="1:10" x14ac:dyDescent="0.2">
      <c r="A2408" s="626"/>
      <c r="B2408" s="637"/>
      <c r="C2408" s="637"/>
      <c r="D2408" s="637"/>
      <c r="E2408" s="637"/>
      <c r="F2408" s="637"/>
      <c r="G2408" s="637"/>
      <c r="H2408" s="637"/>
      <c r="I2408" s="637"/>
      <c r="J2408" s="637"/>
    </row>
    <row r="2409" spans="1:10" x14ac:dyDescent="0.2">
      <c r="A2409" s="626"/>
      <c r="B2409" s="637"/>
      <c r="C2409" s="637"/>
      <c r="D2409" s="637"/>
      <c r="E2409" s="637"/>
      <c r="F2409" s="637"/>
      <c r="G2409" s="637"/>
      <c r="H2409" s="637"/>
      <c r="I2409" s="637"/>
      <c r="J2409" s="637"/>
    </row>
    <row r="2410" spans="1:10" x14ac:dyDescent="0.2">
      <c r="A2410" s="626"/>
      <c r="B2410" s="637"/>
      <c r="C2410" s="637"/>
      <c r="D2410" s="637"/>
      <c r="E2410" s="637"/>
      <c r="F2410" s="637"/>
      <c r="G2410" s="637"/>
      <c r="H2410" s="637"/>
      <c r="I2410" s="637"/>
      <c r="J2410" s="637"/>
    </row>
    <row r="2411" spans="1:10" x14ac:dyDescent="0.2">
      <c r="A2411" s="626"/>
      <c r="B2411" s="637"/>
      <c r="C2411" s="637"/>
      <c r="D2411" s="637"/>
      <c r="E2411" s="637"/>
      <c r="F2411" s="637"/>
      <c r="G2411" s="637"/>
      <c r="H2411" s="637"/>
      <c r="I2411" s="637"/>
      <c r="J2411" s="637"/>
    </row>
    <row r="2412" spans="1:10" x14ac:dyDescent="0.2">
      <c r="A2412" s="626"/>
      <c r="B2412" s="637"/>
      <c r="C2412" s="637"/>
      <c r="D2412" s="637"/>
      <c r="E2412" s="637"/>
      <c r="F2412" s="637"/>
      <c r="G2412" s="637"/>
      <c r="H2412" s="637"/>
      <c r="I2412" s="637"/>
      <c r="J2412" s="637"/>
    </row>
    <row r="2413" spans="1:10" x14ac:dyDescent="0.2">
      <c r="A2413" s="626"/>
      <c r="B2413" s="637"/>
      <c r="C2413" s="637"/>
      <c r="D2413" s="637"/>
      <c r="E2413" s="637"/>
      <c r="F2413" s="637"/>
      <c r="G2413" s="637"/>
      <c r="H2413" s="637"/>
      <c r="I2413" s="637"/>
      <c r="J2413" s="637"/>
    </row>
    <row r="2414" spans="1:10" x14ac:dyDescent="0.2">
      <c r="A2414" s="626"/>
      <c r="B2414" s="637"/>
      <c r="C2414" s="637"/>
      <c r="D2414" s="637"/>
      <c r="E2414" s="637"/>
      <c r="F2414" s="637"/>
      <c r="G2414" s="637"/>
      <c r="H2414" s="637"/>
      <c r="I2414" s="637"/>
      <c r="J2414" s="637"/>
    </row>
    <row r="2415" spans="1:10" x14ac:dyDescent="0.2">
      <c r="A2415" s="626"/>
      <c r="B2415" s="637"/>
      <c r="C2415" s="637"/>
      <c r="D2415" s="637"/>
      <c r="E2415" s="637"/>
      <c r="F2415" s="637"/>
      <c r="G2415" s="637"/>
      <c r="H2415" s="637"/>
      <c r="I2415" s="637"/>
      <c r="J2415" s="637"/>
    </row>
    <row r="2416" spans="1:10" x14ac:dyDescent="0.2">
      <c r="A2416" s="626"/>
      <c r="B2416" s="637"/>
      <c r="C2416" s="637"/>
      <c r="D2416" s="637"/>
      <c r="E2416" s="637"/>
      <c r="F2416" s="637"/>
      <c r="G2416" s="637"/>
      <c r="H2416" s="637"/>
      <c r="I2416" s="637"/>
      <c r="J2416" s="637"/>
    </row>
    <row r="2417" spans="1:10" x14ac:dyDescent="0.2">
      <c r="A2417" s="626"/>
      <c r="B2417" s="637"/>
      <c r="C2417" s="637"/>
      <c r="D2417" s="637"/>
      <c r="E2417" s="637"/>
      <c r="F2417" s="637"/>
      <c r="G2417" s="637"/>
      <c r="H2417" s="637"/>
      <c r="I2417" s="637"/>
      <c r="J2417" s="637"/>
    </row>
    <row r="2418" spans="1:10" x14ac:dyDescent="0.2">
      <c r="A2418" s="626"/>
      <c r="B2418" s="637"/>
      <c r="C2418" s="637"/>
      <c r="D2418" s="637"/>
      <c r="E2418" s="637"/>
      <c r="F2418" s="637"/>
      <c r="G2418" s="637"/>
      <c r="H2418" s="637"/>
      <c r="I2418" s="637"/>
      <c r="J2418" s="637"/>
    </row>
    <row r="2419" spans="1:10" x14ac:dyDescent="0.2">
      <c r="A2419" s="626"/>
      <c r="B2419" s="637"/>
      <c r="C2419" s="637"/>
      <c r="D2419" s="637"/>
      <c r="E2419" s="637"/>
      <c r="F2419" s="637"/>
      <c r="G2419" s="637"/>
      <c r="H2419" s="637"/>
      <c r="I2419" s="637"/>
      <c r="J2419" s="637"/>
    </row>
    <row r="2420" spans="1:10" x14ac:dyDescent="0.2">
      <c r="A2420" s="626"/>
      <c r="B2420" s="637"/>
      <c r="C2420" s="637"/>
      <c r="D2420" s="637"/>
      <c r="E2420" s="637"/>
      <c r="F2420" s="637"/>
      <c r="G2420" s="637"/>
      <c r="H2420" s="637"/>
      <c r="I2420" s="637"/>
      <c r="J2420" s="637"/>
    </row>
    <row r="2421" spans="1:10" x14ac:dyDescent="0.2">
      <c r="A2421" s="626"/>
      <c r="B2421" s="637"/>
      <c r="C2421" s="637"/>
      <c r="D2421" s="637"/>
      <c r="E2421" s="637"/>
      <c r="F2421" s="637"/>
      <c r="G2421" s="637"/>
      <c r="H2421" s="637"/>
      <c r="I2421" s="637"/>
      <c r="J2421" s="637"/>
    </row>
    <row r="2422" spans="1:10" x14ac:dyDescent="0.2">
      <c r="A2422" s="626"/>
      <c r="B2422" s="637"/>
      <c r="C2422" s="637"/>
      <c r="D2422" s="637"/>
      <c r="E2422" s="637"/>
      <c r="F2422" s="637"/>
      <c r="G2422" s="637"/>
      <c r="H2422" s="637"/>
      <c r="I2422" s="637"/>
      <c r="J2422" s="637"/>
    </row>
    <row r="2423" spans="1:10" x14ac:dyDescent="0.2">
      <c r="A2423" s="626"/>
      <c r="B2423" s="637"/>
      <c r="C2423" s="637"/>
      <c r="D2423" s="637"/>
      <c r="E2423" s="637"/>
      <c r="F2423" s="637"/>
      <c r="G2423" s="637"/>
      <c r="H2423" s="637"/>
      <c r="I2423" s="637"/>
      <c r="J2423" s="637"/>
    </row>
    <row r="2424" spans="1:10" x14ac:dyDescent="0.2">
      <c r="A2424" s="626"/>
      <c r="B2424" s="637"/>
      <c r="C2424" s="637"/>
      <c r="D2424" s="637"/>
      <c r="E2424" s="637"/>
      <c r="F2424" s="637"/>
      <c r="G2424" s="637"/>
      <c r="H2424" s="637"/>
      <c r="I2424" s="637"/>
      <c r="J2424" s="637"/>
    </row>
    <row r="2425" spans="1:10" x14ac:dyDescent="0.2">
      <c r="A2425" s="626"/>
      <c r="B2425" s="637"/>
      <c r="C2425" s="637"/>
      <c r="D2425" s="637"/>
      <c r="E2425" s="637"/>
      <c r="F2425" s="637"/>
      <c r="G2425" s="637"/>
      <c r="H2425" s="637"/>
      <c r="I2425" s="637"/>
      <c r="J2425" s="637"/>
    </row>
    <row r="2426" spans="1:10" x14ac:dyDescent="0.2">
      <c r="A2426" s="626"/>
      <c r="B2426" s="637"/>
      <c r="C2426" s="637"/>
      <c r="D2426" s="637"/>
      <c r="E2426" s="637"/>
      <c r="F2426" s="637"/>
      <c r="G2426" s="637"/>
      <c r="H2426" s="637"/>
      <c r="I2426" s="637"/>
      <c r="J2426" s="637"/>
    </row>
    <row r="2427" spans="1:10" x14ac:dyDescent="0.2">
      <c r="A2427" s="626"/>
      <c r="B2427" s="637"/>
      <c r="C2427" s="637"/>
      <c r="D2427" s="637"/>
      <c r="E2427" s="637"/>
      <c r="F2427" s="637"/>
      <c r="G2427" s="637"/>
      <c r="H2427" s="637"/>
      <c r="I2427" s="637"/>
      <c r="J2427" s="637"/>
    </row>
    <row r="2428" spans="1:10" x14ac:dyDescent="0.2">
      <c r="A2428" s="626"/>
      <c r="B2428" s="637"/>
      <c r="C2428" s="637"/>
      <c r="D2428" s="637"/>
      <c r="E2428" s="637"/>
      <c r="F2428" s="637"/>
      <c r="G2428" s="637"/>
      <c r="H2428" s="637"/>
      <c r="I2428" s="637"/>
      <c r="J2428" s="637"/>
    </row>
    <row r="2429" spans="1:10" x14ac:dyDescent="0.2">
      <c r="A2429" s="626"/>
      <c r="B2429" s="637"/>
      <c r="C2429" s="637"/>
      <c r="D2429" s="637"/>
      <c r="E2429" s="637"/>
      <c r="F2429" s="637"/>
      <c r="G2429" s="637"/>
      <c r="H2429" s="637"/>
      <c r="I2429" s="637"/>
      <c r="J2429" s="637"/>
    </row>
    <row r="2430" spans="1:10" x14ac:dyDescent="0.2">
      <c r="A2430" s="626"/>
      <c r="B2430" s="637"/>
      <c r="C2430" s="637"/>
      <c r="D2430" s="637"/>
      <c r="E2430" s="637"/>
      <c r="F2430" s="637"/>
      <c r="G2430" s="637"/>
      <c r="H2430" s="637"/>
      <c r="I2430" s="637"/>
      <c r="J2430" s="637"/>
    </row>
    <row r="2431" spans="1:10" x14ac:dyDescent="0.2">
      <c r="A2431" s="626"/>
      <c r="B2431" s="637"/>
      <c r="C2431" s="637"/>
      <c r="D2431" s="637"/>
      <c r="E2431" s="637"/>
      <c r="F2431" s="637"/>
      <c r="G2431" s="637"/>
      <c r="H2431" s="637"/>
      <c r="I2431" s="637"/>
      <c r="J2431" s="637"/>
    </row>
    <row r="2432" spans="1:10" x14ac:dyDescent="0.2">
      <c r="A2432" s="626"/>
      <c r="B2432" s="637"/>
      <c r="C2432" s="637"/>
      <c r="D2432" s="637"/>
      <c r="E2432" s="637"/>
      <c r="F2432" s="637"/>
      <c r="G2432" s="637"/>
      <c r="H2432" s="637"/>
      <c r="I2432" s="637"/>
      <c r="J2432" s="637"/>
    </row>
    <row r="2433" spans="1:10" x14ac:dyDescent="0.2">
      <c r="A2433" s="626"/>
      <c r="B2433" s="637"/>
      <c r="C2433" s="637"/>
      <c r="D2433" s="637"/>
      <c r="E2433" s="637"/>
      <c r="F2433" s="637"/>
      <c r="G2433" s="637"/>
      <c r="H2433" s="637"/>
      <c r="I2433" s="637"/>
      <c r="J2433" s="637"/>
    </row>
    <row r="2434" spans="1:10" x14ac:dyDescent="0.2">
      <c r="A2434" s="626"/>
      <c r="B2434" s="637"/>
      <c r="C2434" s="637"/>
      <c r="D2434" s="637"/>
      <c r="E2434" s="637"/>
      <c r="F2434" s="637"/>
      <c r="G2434" s="637"/>
      <c r="H2434" s="637"/>
      <c r="I2434" s="637"/>
      <c r="J2434" s="637"/>
    </row>
    <row r="2435" spans="1:10" x14ac:dyDescent="0.2">
      <c r="A2435" s="626"/>
      <c r="B2435" s="637"/>
      <c r="C2435" s="637"/>
      <c r="D2435" s="637"/>
      <c r="E2435" s="637"/>
      <c r="F2435" s="637"/>
      <c r="G2435" s="637"/>
      <c r="H2435" s="637"/>
      <c r="I2435" s="637"/>
      <c r="J2435" s="637"/>
    </row>
    <row r="2436" spans="1:10" x14ac:dyDescent="0.2">
      <c r="A2436" s="626"/>
      <c r="B2436" s="637"/>
      <c r="C2436" s="637"/>
      <c r="D2436" s="637"/>
      <c r="E2436" s="637"/>
      <c r="F2436" s="637"/>
      <c r="G2436" s="637"/>
      <c r="H2436" s="637"/>
      <c r="I2436" s="637"/>
      <c r="J2436" s="637"/>
    </row>
    <row r="2437" spans="1:10" x14ac:dyDescent="0.2">
      <c r="A2437" s="626"/>
      <c r="B2437" s="637"/>
      <c r="C2437" s="637"/>
      <c r="D2437" s="637"/>
      <c r="E2437" s="637"/>
      <c r="F2437" s="637"/>
      <c r="G2437" s="637"/>
      <c r="H2437" s="637"/>
      <c r="I2437" s="637"/>
      <c r="J2437" s="637"/>
    </row>
    <row r="2438" spans="1:10" x14ac:dyDescent="0.2">
      <c r="A2438" s="626"/>
      <c r="B2438" s="637"/>
      <c r="C2438" s="637"/>
      <c r="D2438" s="637"/>
      <c r="E2438" s="637"/>
      <c r="F2438" s="637"/>
      <c r="G2438" s="637"/>
      <c r="H2438" s="637"/>
      <c r="I2438" s="637"/>
      <c r="J2438" s="637"/>
    </row>
    <row r="2439" spans="1:10" x14ac:dyDescent="0.2">
      <c r="A2439" s="626"/>
      <c r="B2439" s="637"/>
      <c r="C2439" s="637"/>
      <c r="D2439" s="637"/>
      <c r="E2439" s="637"/>
      <c r="F2439" s="637"/>
      <c r="G2439" s="637"/>
      <c r="H2439" s="637"/>
      <c r="I2439" s="637"/>
      <c r="J2439" s="637"/>
    </row>
    <row r="2440" spans="1:10" x14ac:dyDescent="0.2">
      <c r="A2440" s="626"/>
      <c r="B2440" s="637"/>
      <c r="C2440" s="637"/>
      <c r="D2440" s="637"/>
      <c r="E2440" s="637"/>
      <c r="F2440" s="637"/>
      <c r="G2440" s="637"/>
      <c r="H2440" s="637"/>
      <c r="I2440" s="637"/>
      <c r="J2440" s="637"/>
    </row>
    <row r="2441" spans="1:10" x14ac:dyDescent="0.2">
      <c r="A2441" s="626"/>
      <c r="B2441" s="637"/>
      <c r="C2441" s="637"/>
      <c r="D2441" s="637"/>
      <c r="E2441" s="637"/>
      <c r="F2441" s="637"/>
      <c r="G2441" s="637"/>
      <c r="H2441" s="637"/>
      <c r="I2441" s="637"/>
      <c r="J2441" s="637"/>
    </row>
    <row r="2442" spans="1:10" x14ac:dyDescent="0.2">
      <c r="A2442" s="626"/>
      <c r="B2442" s="637"/>
      <c r="C2442" s="637"/>
      <c r="D2442" s="637"/>
      <c r="E2442" s="637"/>
      <c r="F2442" s="637"/>
      <c r="G2442" s="637"/>
      <c r="H2442" s="637"/>
      <c r="I2442" s="637"/>
      <c r="J2442" s="637"/>
    </row>
    <row r="2443" spans="1:10" x14ac:dyDescent="0.2">
      <c r="A2443" s="626"/>
      <c r="B2443" s="637"/>
      <c r="C2443" s="637"/>
      <c r="D2443" s="637"/>
      <c r="E2443" s="637"/>
      <c r="F2443" s="637"/>
      <c r="G2443" s="637"/>
      <c r="H2443" s="637"/>
      <c r="I2443" s="637"/>
      <c r="J2443" s="637"/>
    </row>
    <row r="2444" spans="1:10" x14ac:dyDescent="0.2">
      <c r="A2444" s="626"/>
      <c r="B2444" s="637"/>
      <c r="C2444" s="637"/>
      <c r="D2444" s="637"/>
      <c r="E2444" s="637"/>
      <c r="F2444" s="637"/>
      <c r="G2444" s="637"/>
      <c r="H2444" s="637"/>
      <c r="I2444" s="637"/>
      <c r="J2444" s="637"/>
    </row>
    <row r="2445" spans="1:10" x14ac:dyDescent="0.2">
      <c r="A2445" s="626"/>
      <c r="B2445" s="637"/>
      <c r="C2445" s="637"/>
      <c r="D2445" s="637"/>
      <c r="E2445" s="637"/>
      <c r="F2445" s="637"/>
      <c r="G2445" s="637"/>
      <c r="H2445" s="637"/>
      <c r="I2445" s="637"/>
      <c r="J2445" s="637"/>
    </row>
    <row r="2446" spans="1:10" x14ac:dyDescent="0.2">
      <c r="A2446" s="626"/>
      <c r="B2446" s="637"/>
      <c r="C2446" s="637"/>
      <c r="D2446" s="637"/>
      <c r="E2446" s="637"/>
      <c r="F2446" s="637"/>
      <c r="G2446" s="637"/>
      <c r="H2446" s="637"/>
      <c r="I2446" s="637"/>
      <c r="J2446" s="637"/>
    </row>
    <row r="2447" spans="1:10" x14ac:dyDescent="0.2">
      <c r="A2447" s="626"/>
      <c r="B2447" s="637"/>
      <c r="C2447" s="637"/>
      <c r="D2447" s="637"/>
      <c r="E2447" s="637"/>
      <c r="F2447" s="637"/>
      <c r="G2447" s="637"/>
      <c r="H2447" s="637"/>
      <c r="I2447" s="637"/>
      <c r="J2447" s="637"/>
    </row>
    <row r="2448" spans="1:10" x14ac:dyDescent="0.2">
      <c r="A2448" s="626"/>
      <c r="B2448" s="637"/>
      <c r="C2448" s="637"/>
      <c r="D2448" s="637"/>
      <c r="E2448" s="637"/>
      <c r="F2448" s="637"/>
      <c r="G2448" s="637"/>
      <c r="H2448" s="637"/>
      <c r="I2448" s="637"/>
      <c r="J2448" s="637"/>
    </row>
    <row r="2449" spans="1:10" x14ac:dyDescent="0.2">
      <c r="A2449" s="626"/>
      <c r="B2449" s="637"/>
      <c r="C2449" s="637"/>
      <c r="D2449" s="637"/>
      <c r="E2449" s="637"/>
      <c r="F2449" s="637"/>
      <c r="G2449" s="637"/>
      <c r="H2449" s="637"/>
      <c r="I2449" s="637"/>
      <c r="J2449" s="637"/>
    </row>
    <row r="2450" spans="1:10" x14ac:dyDescent="0.2">
      <c r="A2450" s="626"/>
      <c r="B2450" s="637"/>
      <c r="C2450" s="637"/>
      <c r="D2450" s="637"/>
      <c r="E2450" s="637"/>
      <c r="F2450" s="637"/>
      <c r="G2450" s="637"/>
      <c r="H2450" s="637"/>
      <c r="I2450" s="637"/>
      <c r="J2450" s="637"/>
    </row>
    <row r="2451" spans="1:10" x14ac:dyDescent="0.2">
      <c r="A2451" s="626"/>
      <c r="B2451" s="637"/>
      <c r="C2451" s="637"/>
      <c r="D2451" s="637"/>
      <c r="E2451" s="637"/>
      <c r="F2451" s="637"/>
      <c r="G2451" s="637"/>
      <c r="H2451" s="637"/>
      <c r="I2451" s="637"/>
      <c r="J2451" s="637"/>
    </row>
    <row r="2452" spans="1:10" x14ac:dyDescent="0.2">
      <c r="A2452" s="626"/>
      <c r="B2452" s="637"/>
      <c r="C2452" s="637"/>
      <c r="D2452" s="637"/>
      <c r="E2452" s="637"/>
      <c r="F2452" s="637"/>
      <c r="G2452" s="637"/>
      <c r="H2452" s="637"/>
      <c r="I2452" s="637"/>
      <c r="J2452" s="637"/>
    </row>
    <row r="2453" spans="1:10" x14ac:dyDescent="0.2">
      <c r="A2453" s="626"/>
      <c r="B2453" s="637"/>
      <c r="C2453" s="637"/>
      <c r="D2453" s="637"/>
      <c r="E2453" s="637"/>
      <c r="F2453" s="637"/>
      <c r="G2453" s="637"/>
      <c r="H2453" s="637"/>
      <c r="I2453" s="637"/>
      <c r="J2453" s="637"/>
    </row>
    <row r="2454" spans="1:10" x14ac:dyDescent="0.2">
      <c r="A2454" s="626"/>
      <c r="B2454" s="637"/>
      <c r="C2454" s="637"/>
      <c r="D2454" s="637"/>
      <c r="E2454" s="637"/>
      <c r="F2454" s="637"/>
      <c r="G2454" s="637"/>
      <c r="H2454" s="637"/>
      <c r="I2454" s="637"/>
      <c r="J2454" s="637"/>
    </row>
    <row r="2455" spans="1:10" x14ac:dyDescent="0.2">
      <c r="A2455" s="626"/>
      <c r="B2455" s="637"/>
      <c r="C2455" s="637"/>
      <c r="D2455" s="637"/>
      <c r="E2455" s="637"/>
      <c r="F2455" s="637"/>
      <c r="G2455" s="637"/>
      <c r="H2455" s="637"/>
      <c r="I2455" s="637"/>
      <c r="J2455" s="637"/>
    </row>
    <row r="2456" spans="1:10" x14ac:dyDescent="0.2">
      <c r="A2456" s="626"/>
      <c r="B2456" s="637"/>
      <c r="C2456" s="637"/>
      <c r="D2456" s="637"/>
      <c r="E2456" s="637"/>
      <c r="F2456" s="637"/>
      <c r="G2456" s="637"/>
      <c r="H2456" s="637"/>
      <c r="I2456" s="637"/>
      <c r="J2456" s="637"/>
    </row>
    <row r="2457" spans="1:10" x14ac:dyDescent="0.2">
      <c r="A2457" s="626"/>
      <c r="B2457" s="637"/>
      <c r="C2457" s="637"/>
      <c r="D2457" s="637"/>
      <c r="E2457" s="637"/>
      <c r="F2457" s="637"/>
      <c r="G2457" s="637"/>
      <c r="H2457" s="637"/>
      <c r="I2457" s="637"/>
      <c r="J2457" s="637"/>
    </row>
    <row r="2458" spans="1:10" x14ac:dyDescent="0.2">
      <c r="A2458" s="626"/>
      <c r="B2458" s="637"/>
      <c r="C2458" s="637"/>
      <c r="D2458" s="637"/>
      <c r="E2458" s="637"/>
      <c r="F2458" s="637"/>
      <c r="G2458" s="637"/>
      <c r="H2458" s="637"/>
      <c r="I2458" s="637"/>
      <c r="J2458" s="637"/>
    </row>
    <row r="2459" spans="1:10" x14ac:dyDescent="0.2">
      <c r="A2459" s="626"/>
      <c r="B2459" s="637"/>
      <c r="C2459" s="637"/>
      <c r="D2459" s="637"/>
      <c r="E2459" s="637"/>
      <c r="F2459" s="637"/>
      <c r="G2459" s="637"/>
      <c r="H2459" s="637"/>
      <c r="I2459" s="637"/>
      <c r="J2459" s="637"/>
    </row>
    <row r="2460" spans="1:10" x14ac:dyDescent="0.2">
      <c r="A2460" s="626"/>
      <c r="B2460" s="637"/>
      <c r="C2460" s="637"/>
      <c r="D2460" s="637"/>
      <c r="E2460" s="637"/>
      <c r="F2460" s="637"/>
      <c r="G2460" s="637"/>
      <c r="H2460" s="637"/>
      <c r="I2460" s="637"/>
      <c r="J2460" s="637"/>
    </row>
    <row r="2461" spans="1:10" x14ac:dyDescent="0.2">
      <c r="A2461" s="626"/>
      <c r="B2461" s="637"/>
      <c r="C2461" s="637"/>
      <c r="D2461" s="637"/>
      <c r="E2461" s="637"/>
      <c r="F2461" s="637"/>
      <c r="G2461" s="637"/>
      <c r="H2461" s="637"/>
      <c r="I2461" s="637"/>
      <c r="J2461" s="637"/>
    </row>
    <row r="2462" spans="1:10" x14ac:dyDescent="0.2">
      <c r="A2462" s="626"/>
      <c r="B2462" s="637"/>
      <c r="C2462" s="637"/>
      <c r="D2462" s="637"/>
      <c r="E2462" s="637"/>
      <c r="F2462" s="637"/>
      <c r="G2462" s="637"/>
      <c r="H2462" s="637"/>
      <c r="I2462" s="637"/>
      <c r="J2462" s="637"/>
    </row>
    <row r="2463" spans="1:10" x14ac:dyDescent="0.2">
      <c r="A2463" s="626"/>
      <c r="B2463" s="637"/>
      <c r="C2463" s="637"/>
      <c r="D2463" s="637"/>
      <c r="E2463" s="637"/>
      <c r="F2463" s="637"/>
      <c r="G2463" s="637"/>
      <c r="H2463" s="637"/>
      <c r="I2463" s="637"/>
      <c r="J2463" s="637"/>
    </row>
    <row r="2464" spans="1:10" x14ac:dyDescent="0.2">
      <c r="A2464" s="626"/>
      <c r="B2464" s="637"/>
      <c r="C2464" s="637"/>
      <c r="D2464" s="637"/>
      <c r="E2464" s="637"/>
      <c r="F2464" s="637"/>
      <c r="G2464" s="637"/>
      <c r="H2464" s="637"/>
      <c r="I2464" s="637"/>
      <c r="J2464" s="637"/>
    </row>
    <row r="2465" spans="1:10" x14ac:dyDescent="0.2">
      <c r="A2465" s="626"/>
      <c r="B2465" s="637"/>
      <c r="C2465" s="637"/>
      <c r="D2465" s="637"/>
      <c r="E2465" s="637"/>
      <c r="F2465" s="637"/>
      <c r="G2465" s="637"/>
      <c r="H2465" s="637"/>
      <c r="I2465" s="637"/>
      <c r="J2465" s="637"/>
    </row>
    <row r="2466" spans="1:10" x14ac:dyDescent="0.2">
      <c r="A2466" s="626"/>
      <c r="B2466" s="637"/>
      <c r="C2466" s="637"/>
      <c r="D2466" s="637"/>
      <c r="E2466" s="637"/>
      <c r="F2466" s="637"/>
      <c r="G2466" s="637"/>
      <c r="H2466" s="637"/>
      <c r="I2466" s="637"/>
      <c r="J2466" s="637"/>
    </row>
    <row r="2467" spans="1:10" x14ac:dyDescent="0.2">
      <c r="A2467" s="626"/>
      <c r="B2467" s="637"/>
      <c r="C2467" s="637"/>
      <c r="D2467" s="637"/>
      <c r="E2467" s="637"/>
      <c r="F2467" s="637"/>
      <c r="G2467" s="637"/>
      <c r="H2467" s="637"/>
      <c r="I2467" s="637"/>
      <c r="J2467" s="637"/>
    </row>
    <row r="2468" spans="1:10" x14ac:dyDescent="0.2">
      <c r="A2468" s="626"/>
      <c r="B2468" s="637"/>
      <c r="C2468" s="637"/>
      <c r="D2468" s="637"/>
      <c r="E2468" s="637"/>
      <c r="F2468" s="637"/>
      <c r="G2468" s="637"/>
      <c r="H2468" s="637"/>
      <c r="I2468" s="637"/>
      <c r="J2468" s="637"/>
    </row>
    <row r="2469" spans="1:10" x14ac:dyDescent="0.2">
      <c r="A2469" s="626"/>
      <c r="B2469" s="637"/>
      <c r="C2469" s="637"/>
      <c r="D2469" s="637"/>
      <c r="E2469" s="637"/>
      <c r="F2469" s="637"/>
      <c r="G2469" s="637"/>
      <c r="H2469" s="637"/>
      <c r="I2469" s="637"/>
      <c r="J2469" s="637"/>
    </row>
    <row r="2470" spans="1:10" x14ac:dyDescent="0.2">
      <c r="A2470" s="626"/>
      <c r="B2470" s="637"/>
      <c r="C2470" s="637"/>
      <c r="D2470" s="637"/>
      <c r="E2470" s="637"/>
      <c r="F2470" s="637"/>
      <c r="G2470" s="637"/>
      <c r="H2470" s="637"/>
      <c r="I2470" s="637"/>
      <c r="J2470" s="637"/>
    </row>
    <row r="2471" spans="1:10" x14ac:dyDescent="0.2">
      <c r="A2471" s="626"/>
      <c r="B2471" s="637"/>
      <c r="C2471" s="637"/>
      <c r="D2471" s="637"/>
      <c r="E2471" s="637"/>
      <c r="F2471" s="637"/>
      <c r="G2471" s="637"/>
      <c r="H2471" s="637"/>
      <c r="I2471" s="637"/>
      <c r="J2471" s="637"/>
    </row>
    <row r="2472" spans="1:10" x14ac:dyDescent="0.2">
      <c r="A2472" s="626"/>
      <c r="B2472" s="637"/>
      <c r="C2472" s="637"/>
      <c r="D2472" s="637"/>
      <c r="E2472" s="637"/>
      <c r="F2472" s="637"/>
      <c r="G2472" s="637"/>
      <c r="H2472" s="637"/>
      <c r="I2472" s="637"/>
      <c r="J2472" s="637"/>
    </row>
    <row r="2473" spans="1:10" x14ac:dyDescent="0.2">
      <c r="A2473" s="626"/>
      <c r="B2473" s="637"/>
      <c r="C2473" s="637"/>
      <c r="D2473" s="637"/>
      <c r="E2473" s="637"/>
      <c r="F2473" s="637"/>
      <c r="G2473" s="637"/>
      <c r="H2473" s="637"/>
      <c r="I2473" s="637"/>
      <c r="J2473" s="637"/>
    </row>
    <row r="2474" spans="1:10" x14ac:dyDescent="0.2">
      <c r="A2474" s="626"/>
      <c r="B2474" s="637"/>
      <c r="C2474" s="637"/>
      <c r="D2474" s="637"/>
      <c r="E2474" s="637"/>
      <c r="F2474" s="637"/>
      <c r="G2474" s="637"/>
      <c r="H2474" s="637"/>
      <c r="I2474" s="637"/>
      <c r="J2474" s="637"/>
    </row>
    <row r="2475" spans="1:10" x14ac:dyDescent="0.2">
      <c r="A2475" s="626"/>
      <c r="B2475" s="637"/>
      <c r="C2475" s="637"/>
      <c r="D2475" s="637"/>
      <c r="E2475" s="637"/>
      <c r="F2475" s="637"/>
      <c r="G2475" s="637"/>
      <c r="H2475" s="637"/>
      <c r="I2475" s="637"/>
      <c r="J2475" s="637"/>
    </row>
    <row r="2476" spans="1:10" x14ac:dyDescent="0.2">
      <c r="A2476" s="626"/>
      <c r="B2476" s="637"/>
      <c r="C2476" s="637"/>
      <c r="D2476" s="637"/>
      <c r="E2476" s="637"/>
      <c r="F2476" s="637"/>
      <c r="G2476" s="637"/>
      <c r="H2476" s="637"/>
      <c r="I2476" s="637"/>
      <c r="J2476" s="637"/>
    </row>
    <row r="2477" spans="1:10" x14ac:dyDescent="0.2">
      <c r="A2477" s="626"/>
      <c r="B2477" s="637"/>
      <c r="C2477" s="637"/>
      <c r="D2477" s="637"/>
      <c r="E2477" s="637"/>
      <c r="F2477" s="637"/>
      <c r="G2477" s="637"/>
      <c r="H2477" s="637"/>
      <c r="I2477" s="637"/>
      <c r="J2477" s="637"/>
    </row>
    <row r="2478" spans="1:10" x14ac:dyDescent="0.2">
      <c r="A2478" s="626"/>
      <c r="B2478" s="637"/>
      <c r="C2478" s="637"/>
      <c r="D2478" s="637"/>
      <c r="E2478" s="637"/>
      <c r="F2478" s="637"/>
      <c r="G2478" s="637"/>
      <c r="H2478" s="637"/>
      <c r="I2478" s="637"/>
      <c r="J2478" s="637"/>
    </row>
    <row r="2479" spans="1:10" x14ac:dyDescent="0.2">
      <c r="A2479" s="626"/>
      <c r="B2479" s="637"/>
      <c r="C2479" s="637"/>
      <c r="D2479" s="637"/>
      <c r="E2479" s="637"/>
      <c r="F2479" s="637"/>
      <c r="G2479" s="637"/>
      <c r="H2479" s="637"/>
      <c r="I2479" s="637"/>
      <c r="J2479" s="637"/>
    </row>
    <row r="2480" spans="1:10" x14ac:dyDescent="0.2">
      <c r="A2480" s="626"/>
      <c r="B2480" s="637"/>
      <c r="C2480" s="637"/>
      <c r="D2480" s="637"/>
      <c r="E2480" s="637"/>
      <c r="F2480" s="637"/>
      <c r="G2480" s="637"/>
      <c r="H2480" s="637"/>
      <c r="I2480" s="637"/>
      <c r="J2480" s="637"/>
    </row>
    <row r="2481" spans="1:10" x14ac:dyDescent="0.2">
      <c r="A2481" s="626"/>
      <c r="B2481" s="637"/>
      <c r="C2481" s="637"/>
      <c r="D2481" s="637"/>
      <c r="E2481" s="637"/>
      <c r="F2481" s="637"/>
      <c r="G2481" s="637"/>
      <c r="H2481" s="637"/>
      <c r="I2481" s="637"/>
      <c r="J2481" s="637"/>
    </row>
    <row r="2482" spans="1:10" x14ac:dyDescent="0.2">
      <c r="A2482" s="626"/>
      <c r="B2482" s="637"/>
      <c r="C2482" s="637"/>
      <c r="D2482" s="637"/>
      <c r="E2482" s="637"/>
      <c r="F2482" s="637"/>
      <c r="G2482" s="637"/>
      <c r="H2482" s="637"/>
      <c r="I2482" s="637"/>
      <c r="J2482" s="637"/>
    </row>
    <row r="2483" spans="1:10" x14ac:dyDescent="0.2">
      <c r="A2483" s="626"/>
      <c r="B2483" s="637"/>
      <c r="C2483" s="637"/>
      <c r="D2483" s="637"/>
      <c r="E2483" s="637"/>
      <c r="F2483" s="637"/>
      <c r="G2483" s="637"/>
      <c r="H2483" s="637"/>
      <c r="I2483" s="637"/>
      <c r="J2483" s="637"/>
    </row>
    <row r="2484" spans="1:10" x14ac:dyDescent="0.2">
      <c r="A2484" s="626"/>
      <c r="B2484" s="637"/>
      <c r="C2484" s="637"/>
      <c r="D2484" s="637"/>
      <c r="E2484" s="637"/>
      <c r="F2484" s="637"/>
      <c r="G2484" s="637"/>
      <c r="H2484" s="637"/>
      <c r="I2484" s="637"/>
      <c r="J2484" s="637"/>
    </row>
    <row r="2485" spans="1:10" x14ac:dyDescent="0.2">
      <c r="A2485" s="626"/>
      <c r="B2485" s="637"/>
      <c r="C2485" s="637"/>
      <c r="D2485" s="637"/>
      <c r="E2485" s="637"/>
      <c r="F2485" s="637"/>
      <c r="G2485" s="637"/>
      <c r="H2485" s="637"/>
      <c r="I2485" s="637"/>
      <c r="J2485" s="637"/>
    </row>
    <row r="2486" spans="1:10" x14ac:dyDescent="0.2">
      <c r="A2486" s="626"/>
      <c r="B2486" s="637"/>
      <c r="C2486" s="637"/>
      <c r="D2486" s="637"/>
      <c r="E2486" s="637"/>
      <c r="F2486" s="637"/>
      <c r="G2486" s="637"/>
      <c r="H2486" s="637"/>
      <c r="I2486" s="637"/>
      <c r="J2486" s="637"/>
    </row>
    <row r="2487" spans="1:10" x14ac:dyDescent="0.2">
      <c r="A2487" s="626"/>
      <c r="B2487" s="637"/>
      <c r="C2487" s="637"/>
      <c r="D2487" s="637"/>
      <c r="E2487" s="637"/>
      <c r="F2487" s="637"/>
      <c r="G2487" s="637"/>
      <c r="H2487" s="637"/>
      <c r="I2487" s="637"/>
      <c r="J2487" s="637"/>
    </row>
    <row r="2488" spans="1:10" x14ac:dyDescent="0.2">
      <c r="A2488" s="626"/>
      <c r="B2488" s="637"/>
      <c r="C2488" s="637"/>
      <c r="D2488" s="637"/>
      <c r="E2488" s="637"/>
      <c r="F2488" s="637"/>
      <c r="G2488" s="637"/>
      <c r="H2488" s="637"/>
      <c r="I2488" s="637"/>
      <c r="J2488" s="637"/>
    </row>
    <row r="2489" spans="1:10" x14ac:dyDescent="0.2">
      <c r="A2489" s="626"/>
      <c r="B2489" s="637"/>
      <c r="C2489" s="637"/>
      <c r="D2489" s="637"/>
      <c r="E2489" s="637"/>
      <c r="F2489" s="637"/>
      <c r="G2489" s="637"/>
      <c r="H2489" s="637"/>
      <c r="I2489" s="637"/>
      <c r="J2489" s="637"/>
    </row>
    <row r="2490" spans="1:10" x14ac:dyDescent="0.2">
      <c r="A2490" s="626"/>
      <c r="B2490" s="637"/>
      <c r="C2490" s="637"/>
      <c r="D2490" s="637"/>
      <c r="E2490" s="637"/>
      <c r="F2490" s="637"/>
      <c r="G2490" s="637"/>
      <c r="H2490" s="637"/>
      <c r="I2490" s="637"/>
      <c r="J2490" s="637"/>
    </row>
    <row r="2491" spans="1:10" x14ac:dyDescent="0.2">
      <c r="A2491" s="626"/>
      <c r="B2491" s="637"/>
      <c r="C2491" s="637"/>
      <c r="D2491" s="637"/>
      <c r="E2491" s="637"/>
      <c r="F2491" s="637"/>
      <c r="G2491" s="637"/>
      <c r="H2491" s="637"/>
      <c r="I2491" s="637"/>
      <c r="J2491" s="637"/>
    </row>
    <row r="2492" spans="1:10" x14ac:dyDescent="0.2">
      <c r="A2492" s="626"/>
      <c r="B2492" s="637"/>
      <c r="C2492" s="637"/>
      <c r="D2492" s="637"/>
      <c r="E2492" s="637"/>
      <c r="F2492" s="637"/>
      <c r="G2492" s="637"/>
      <c r="H2492" s="637"/>
      <c r="I2492" s="637"/>
      <c r="J2492" s="637"/>
    </row>
    <row r="2493" spans="1:10" x14ac:dyDescent="0.2">
      <c r="A2493" s="626"/>
      <c r="B2493" s="637"/>
      <c r="C2493" s="637"/>
      <c r="D2493" s="637"/>
      <c r="E2493" s="637"/>
      <c r="F2493" s="637"/>
      <c r="G2493" s="637"/>
      <c r="H2493" s="637"/>
      <c r="I2493" s="637"/>
      <c r="J2493" s="637"/>
    </row>
    <row r="2494" spans="1:10" x14ac:dyDescent="0.2">
      <c r="A2494" s="626"/>
      <c r="B2494" s="637"/>
      <c r="C2494" s="637"/>
      <c r="D2494" s="637"/>
      <c r="E2494" s="637"/>
      <c r="F2494" s="637"/>
      <c r="G2494" s="637"/>
      <c r="H2494" s="637"/>
      <c r="I2494" s="637"/>
      <c r="J2494" s="637"/>
    </row>
    <row r="2495" spans="1:10" x14ac:dyDescent="0.2">
      <c r="A2495" s="626"/>
      <c r="B2495" s="637"/>
      <c r="C2495" s="637"/>
      <c r="D2495" s="637"/>
      <c r="E2495" s="637"/>
      <c r="F2495" s="637"/>
      <c r="G2495" s="637"/>
      <c r="H2495" s="637"/>
      <c r="I2495" s="637"/>
      <c r="J2495" s="637"/>
    </row>
    <row r="2496" spans="1:10" x14ac:dyDescent="0.2">
      <c r="A2496" s="626"/>
      <c r="B2496" s="637"/>
      <c r="C2496" s="637"/>
      <c r="D2496" s="637"/>
      <c r="E2496" s="637"/>
      <c r="F2496" s="637"/>
      <c r="G2496" s="637"/>
      <c r="H2496" s="637"/>
      <c r="I2496" s="637"/>
      <c r="J2496" s="637"/>
    </row>
    <row r="2497" spans="1:10" x14ac:dyDescent="0.2">
      <c r="A2497" s="626"/>
      <c r="B2497" s="637"/>
      <c r="C2497" s="637"/>
      <c r="D2497" s="637"/>
      <c r="E2497" s="637"/>
      <c r="F2497" s="637"/>
      <c r="G2497" s="637"/>
      <c r="H2497" s="637"/>
      <c r="I2497" s="637"/>
      <c r="J2497" s="637"/>
    </row>
    <row r="2498" spans="1:10" x14ac:dyDescent="0.2">
      <c r="A2498" s="626"/>
      <c r="B2498" s="637"/>
      <c r="C2498" s="637"/>
      <c r="D2498" s="637"/>
      <c r="E2498" s="637"/>
      <c r="F2498" s="637"/>
      <c r="G2498" s="637"/>
      <c r="H2498" s="637"/>
      <c r="I2498" s="637"/>
      <c r="J2498" s="637"/>
    </row>
    <row r="2499" spans="1:10" x14ac:dyDescent="0.2">
      <c r="A2499" s="626"/>
      <c r="B2499" s="637"/>
      <c r="C2499" s="637"/>
      <c r="D2499" s="637"/>
      <c r="E2499" s="637"/>
      <c r="F2499" s="637"/>
      <c r="G2499" s="637"/>
      <c r="H2499" s="637"/>
      <c r="I2499" s="637"/>
      <c r="J2499" s="637"/>
    </row>
    <row r="2500" spans="1:10" x14ac:dyDescent="0.2">
      <c r="A2500" s="626"/>
      <c r="B2500" s="637"/>
      <c r="C2500" s="637"/>
      <c r="D2500" s="637"/>
      <c r="E2500" s="637"/>
      <c r="F2500" s="637"/>
      <c r="G2500" s="637"/>
      <c r="H2500" s="637"/>
      <c r="I2500" s="637"/>
      <c r="J2500" s="637"/>
    </row>
    <row r="2501" spans="1:10" x14ac:dyDescent="0.2">
      <c r="A2501" s="626"/>
      <c r="B2501" s="637"/>
      <c r="C2501" s="637"/>
      <c r="D2501" s="637"/>
      <c r="E2501" s="637"/>
      <c r="F2501" s="637"/>
      <c r="G2501" s="637"/>
      <c r="H2501" s="637"/>
      <c r="I2501" s="637"/>
      <c r="J2501" s="637"/>
    </row>
    <row r="2502" spans="1:10" x14ac:dyDescent="0.2">
      <c r="A2502" s="626"/>
      <c r="B2502" s="637"/>
      <c r="C2502" s="637"/>
      <c r="D2502" s="637"/>
      <c r="E2502" s="637"/>
      <c r="F2502" s="637"/>
      <c r="G2502" s="637"/>
      <c r="H2502" s="637"/>
      <c r="I2502" s="637"/>
      <c r="J2502" s="637"/>
    </row>
    <row r="2503" spans="1:10" x14ac:dyDescent="0.2">
      <c r="A2503" s="626"/>
      <c r="B2503" s="637"/>
      <c r="C2503" s="637"/>
      <c r="D2503" s="637"/>
      <c r="E2503" s="637"/>
      <c r="F2503" s="637"/>
      <c r="G2503" s="637"/>
      <c r="H2503" s="637"/>
      <c r="I2503" s="637"/>
      <c r="J2503" s="637"/>
    </row>
    <row r="2504" spans="1:10" x14ac:dyDescent="0.2">
      <c r="A2504" s="626"/>
      <c r="B2504" s="637"/>
      <c r="C2504" s="637"/>
      <c r="D2504" s="637"/>
      <c r="E2504" s="637"/>
      <c r="F2504" s="637"/>
      <c r="G2504" s="637"/>
      <c r="H2504" s="637"/>
      <c r="I2504" s="637"/>
      <c r="J2504" s="637"/>
    </row>
    <row r="2505" spans="1:10" x14ac:dyDescent="0.2">
      <c r="A2505" s="626"/>
      <c r="B2505" s="637"/>
      <c r="C2505" s="637"/>
      <c r="D2505" s="637"/>
      <c r="E2505" s="637"/>
      <c r="F2505" s="637"/>
      <c r="G2505" s="637"/>
      <c r="H2505" s="637"/>
      <c r="I2505" s="637"/>
      <c r="J2505" s="637"/>
    </row>
    <row r="2506" spans="1:10" x14ac:dyDescent="0.2">
      <c r="A2506" s="626"/>
      <c r="B2506" s="637"/>
      <c r="C2506" s="637"/>
      <c r="D2506" s="637"/>
      <c r="E2506" s="637"/>
      <c r="F2506" s="637"/>
      <c r="G2506" s="637"/>
      <c r="H2506" s="637"/>
      <c r="I2506" s="637"/>
      <c r="J2506" s="637"/>
    </row>
    <row r="2507" spans="1:10" x14ac:dyDescent="0.2">
      <c r="A2507" s="626"/>
      <c r="B2507" s="637"/>
      <c r="C2507" s="637"/>
      <c r="D2507" s="637"/>
      <c r="E2507" s="637"/>
      <c r="F2507" s="637"/>
      <c r="G2507" s="637"/>
      <c r="H2507" s="637"/>
      <c r="I2507" s="637"/>
      <c r="J2507" s="637"/>
    </row>
    <row r="2508" spans="1:10" x14ac:dyDescent="0.2">
      <c r="A2508" s="626"/>
      <c r="B2508" s="637"/>
      <c r="C2508" s="637"/>
      <c r="D2508" s="637"/>
      <c r="E2508" s="637"/>
      <c r="F2508" s="637"/>
      <c r="G2508" s="637"/>
      <c r="H2508" s="637"/>
      <c r="I2508" s="637"/>
      <c r="J2508" s="637"/>
    </row>
    <row r="2509" spans="1:10" x14ac:dyDescent="0.2">
      <c r="A2509" s="626"/>
      <c r="B2509" s="637"/>
      <c r="C2509" s="637"/>
      <c r="D2509" s="637"/>
      <c r="E2509" s="637"/>
      <c r="F2509" s="637"/>
      <c r="G2509" s="637"/>
      <c r="H2509" s="637"/>
      <c r="I2509" s="637"/>
      <c r="J2509" s="637"/>
    </row>
    <row r="2510" spans="1:10" x14ac:dyDescent="0.2">
      <c r="A2510" s="626"/>
      <c r="B2510" s="637"/>
      <c r="C2510" s="637"/>
      <c r="D2510" s="637"/>
      <c r="E2510" s="637"/>
      <c r="F2510" s="637"/>
      <c r="G2510" s="637"/>
      <c r="H2510" s="637"/>
      <c r="I2510" s="637"/>
      <c r="J2510" s="637"/>
    </row>
    <row r="2511" spans="1:10" x14ac:dyDescent="0.2">
      <c r="A2511" s="626"/>
      <c r="B2511" s="637"/>
      <c r="C2511" s="637"/>
      <c r="D2511" s="637"/>
      <c r="E2511" s="637"/>
      <c r="F2511" s="637"/>
      <c r="G2511" s="637"/>
      <c r="H2511" s="637"/>
      <c r="I2511" s="637"/>
      <c r="J2511" s="637"/>
    </row>
    <row r="2512" spans="1:10" x14ac:dyDescent="0.2">
      <c r="A2512" s="626"/>
      <c r="B2512" s="637"/>
      <c r="C2512" s="637"/>
      <c r="D2512" s="637"/>
      <c r="E2512" s="637"/>
      <c r="F2512" s="637"/>
      <c r="G2512" s="637"/>
      <c r="H2512" s="637"/>
      <c r="I2512" s="637"/>
      <c r="J2512" s="637"/>
    </row>
    <row r="2513" spans="1:10" x14ac:dyDescent="0.2">
      <c r="A2513" s="626"/>
      <c r="B2513" s="637"/>
      <c r="C2513" s="637"/>
      <c r="D2513" s="637"/>
      <c r="E2513" s="637"/>
      <c r="F2513" s="637"/>
      <c r="G2513" s="637"/>
      <c r="H2513" s="637"/>
      <c r="I2513" s="637"/>
      <c r="J2513" s="637"/>
    </row>
    <row r="2514" spans="1:10" x14ac:dyDescent="0.2">
      <c r="A2514" s="626"/>
      <c r="B2514" s="637"/>
      <c r="C2514" s="637"/>
      <c r="D2514" s="637"/>
      <c r="E2514" s="637"/>
      <c r="F2514" s="637"/>
      <c r="G2514" s="637"/>
      <c r="H2514" s="637"/>
      <c r="I2514" s="637"/>
      <c r="J2514" s="637"/>
    </row>
    <row r="2515" spans="1:10" x14ac:dyDescent="0.2">
      <c r="A2515" s="626"/>
      <c r="B2515" s="637"/>
      <c r="C2515" s="637"/>
      <c r="D2515" s="637"/>
      <c r="E2515" s="637"/>
      <c r="F2515" s="637"/>
      <c r="G2515" s="637"/>
      <c r="H2515" s="637"/>
      <c r="I2515" s="637"/>
      <c r="J2515" s="637"/>
    </row>
    <row r="2516" spans="1:10" x14ac:dyDescent="0.2">
      <c r="A2516" s="626"/>
      <c r="B2516" s="637"/>
      <c r="C2516" s="637"/>
      <c r="D2516" s="637"/>
      <c r="E2516" s="637"/>
      <c r="F2516" s="637"/>
      <c r="G2516" s="637"/>
      <c r="H2516" s="637"/>
      <c r="I2516" s="637"/>
      <c r="J2516" s="637"/>
    </row>
    <row r="2517" spans="1:10" x14ac:dyDescent="0.2">
      <c r="A2517" s="626"/>
      <c r="B2517" s="637"/>
      <c r="C2517" s="637"/>
      <c r="D2517" s="637"/>
      <c r="E2517" s="637"/>
      <c r="F2517" s="637"/>
      <c r="G2517" s="637"/>
      <c r="H2517" s="637"/>
      <c r="I2517" s="637"/>
      <c r="J2517" s="637"/>
    </row>
    <row r="2518" spans="1:10" x14ac:dyDescent="0.2">
      <c r="A2518" s="626"/>
      <c r="B2518" s="637"/>
      <c r="C2518" s="637"/>
      <c r="D2518" s="637"/>
      <c r="E2518" s="637"/>
      <c r="F2518" s="637"/>
      <c r="G2518" s="637"/>
      <c r="H2518" s="637"/>
      <c r="I2518" s="637"/>
      <c r="J2518" s="637"/>
    </row>
    <row r="2519" spans="1:10" x14ac:dyDescent="0.2">
      <c r="A2519" s="626"/>
      <c r="B2519" s="637"/>
      <c r="C2519" s="637"/>
      <c r="D2519" s="637"/>
      <c r="E2519" s="637"/>
      <c r="F2519" s="637"/>
      <c r="G2519" s="637"/>
      <c r="H2519" s="637"/>
      <c r="I2519" s="637"/>
      <c r="J2519" s="637"/>
    </row>
    <row r="2520" spans="1:10" x14ac:dyDescent="0.2">
      <c r="A2520" s="626"/>
      <c r="B2520" s="637"/>
      <c r="C2520" s="637"/>
      <c r="D2520" s="637"/>
      <c r="E2520" s="637"/>
      <c r="F2520" s="637"/>
      <c r="G2520" s="637"/>
      <c r="H2520" s="637"/>
      <c r="I2520" s="637"/>
      <c r="J2520" s="637"/>
    </row>
    <row r="2521" spans="1:10" x14ac:dyDescent="0.2">
      <c r="A2521" s="626"/>
      <c r="B2521" s="637"/>
      <c r="C2521" s="637"/>
      <c r="D2521" s="637"/>
      <c r="E2521" s="637"/>
      <c r="F2521" s="637"/>
      <c r="G2521" s="637"/>
      <c r="H2521" s="637"/>
      <c r="I2521" s="637"/>
      <c r="J2521" s="637"/>
    </row>
    <row r="2522" spans="1:10" x14ac:dyDescent="0.2">
      <c r="A2522" s="626"/>
      <c r="B2522" s="637"/>
      <c r="C2522" s="637"/>
      <c r="D2522" s="637"/>
      <c r="E2522" s="637"/>
      <c r="F2522" s="637"/>
      <c r="G2522" s="637"/>
      <c r="H2522" s="637"/>
      <c r="I2522" s="637"/>
      <c r="J2522" s="637"/>
    </row>
    <row r="2523" spans="1:10" x14ac:dyDescent="0.2">
      <c r="A2523" s="626"/>
      <c r="B2523" s="637"/>
      <c r="C2523" s="637"/>
      <c r="D2523" s="637"/>
      <c r="E2523" s="637"/>
      <c r="F2523" s="637"/>
      <c r="G2523" s="637"/>
      <c r="H2523" s="637"/>
      <c r="I2523" s="637"/>
      <c r="J2523" s="637"/>
    </row>
    <row r="2524" spans="1:10" x14ac:dyDescent="0.2">
      <c r="A2524" s="626"/>
      <c r="B2524" s="637"/>
      <c r="C2524" s="637"/>
      <c r="D2524" s="637"/>
      <c r="E2524" s="637"/>
      <c r="F2524" s="637"/>
      <c r="G2524" s="637"/>
      <c r="H2524" s="637"/>
      <c r="I2524" s="637"/>
      <c r="J2524" s="637"/>
    </row>
    <row r="2525" spans="1:10" x14ac:dyDescent="0.2">
      <c r="A2525" s="626"/>
      <c r="B2525" s="637"/>
      <c r="C2525" s="637"/>
      <c r="D2525" s="637"/>
      <c r="E2525" s="637"/>
      <c r="F2525" s="637"/>
      <c r="G2525" s="637"/>
      <c r="H2525" s="637"/>
      <c r="I2525" s="637"/>
      <c r="J2525" s="637"/>
    </row>
    <row r="2526" spans="1:10" x14ac:dyDescent="0.2">
      <c r="A2526" s="626"/>
      <c r="B2526" s="637"/>
      <c r="C2526" s="637"/>
      <c r="D2526" s="637"/>
      <c r="E2526" s="637"/>
      <c r="F2526" s="637"/>
      <c r="G2526" s="637"/>
      <c r="H2526" s="637"/>
      <c r="I2526" s="637"/>
      <c r="J2526" s="637"/>
    </row>
    <row r="2527" spans="1:10" x14ac:dyDescent="0.2">
      <c r="A2527" s="626"/>
      <c r="B2527" s="637"/>
      <c r="C2527" s="637"/>
      <c r="D2527" s="637"/>
      <c r="E2527" s="637"/>
      <c r="F2527" s="637"/>
      <c r="G2527" s="637"/>
      <c r="H2527" s="637"/>
      <c r="I2527" s="637"/>
      <c r="J2527" s="637"/>
    </row>
    <row r="2528" spans="1:10" x14ac:dyDescent="0.2">
      <c r="A2528" s="626"/>
      <c r="B2528" s="637"/>
      <c r="C2528" s="637"/>
      <c r="D2528" s="637"/>
      <c r="E2528" s="637"/>
      <c r="F2528" s="637"/>
      <c r="G2528" s="637"/>
      <c r="H2528" s="637"/>
      <c r="I2528" s="637"/>
      <c r="J2528" s="637"/>
    </row>
    <row r="2529" spans="1:10" x14ac:dyDescent="0.2">
      <c r="A2529" s="626"/>
      <c r="B2529" s="637"/>
      <c r="C2529" s="637"/>
      <c r="D2529" s="637"/>
      <c r="E2529" s="637"/>
      <c r="F2529" s="637"/>
      <c r="G2529" s="637"/>
      <c r="H2529" s="637"/>
      <c r="I2529" s="637"/>
      <c r="J2529" s="637"/>
    </row>
    <row r="2530" spans="1:10" x14ac:dyDescent="0.2">
      <c r="A2530" s="626"/>
      <c r="B2530" s="637"/>
      <c r="C2530" s="637"/>
      <c r="D2530" s="637"/>
      <c r="E2530" s="637"/>
      <c r="F2530" s="637"/>
      <c r="G2530" s="637"/>
      <c r="H2530" s="637"/>
      <c r="I2530" s="637"/>
      <c r="J2530" s="637"/>
    </row>
    <row r="2531" spans="1:10" x14ac:dyDescent="0.2">
      <c r="A2531" s="626"/>
      <c r="B2531" s="637"/>
      <c r="C2531" s="637"/>
      <c r="D2531" s="637"/>
      <c r="E2531" s="637"/>
      <c r="F2531" s="637"/>
      <c r="G2531" s="637"/>
      <c r="H2531" s="637"/>
      <c r="I2531" s="637"/>
      <c r="J2531" s="637"/>
    </row>
    <row r="2532" spans="1:10" x14ac:dyDescent="0.2">
      <c r="A2532" s="626"/>
      <c r="B2532" s="637"/>
      <c r="C2532" s="637"/>
      <c r="D2532" s="637"/>
      <c r="E2532" s="637"/>
      <c r="F2532" s="637"/>
      <c r="G2532" s="637"/>
      <c r="H2532" s="637"/>
      <c r="I2532" s="637"/>
      <c r="J2532" s="637"/>
    </row>
    <row r="2533" spans="1:10" x14ac:dyDescent="0.2">
      <c r="A2533" s="626"/>
      <c r="B2533" s="637"/>
      <c r="C2533" s="637"/>
      <c r="D2533" s="637"/>
      <c r="E2533" s="637"/>
      <c r="F2533" s="637"/>
      <c r="G2533" s="637"/>
      <c r="H2533" s="637"/>
      <c r="I2533" s="637"/>
      <c r="J2533" s="637"/>
    </row>
    <row r="2534" spans="1:10" x14ac:dyDescent="0.2">
      <c r="A2534" s="626"/>
      <c r="B2534" s="637"/>
      <c r="C2534" s="637"/>
      <c r="D2534" s="637"/>
      <c r="E2534" s="637"/>
      <c r="F2534" s="637"/>
      <c r="G2534" s="637"/>
      <c r="H2534" s="637"/>
      <c r="I2534" s="637"/>
      <c r="J2534" s="637"/>
    </row>
    <row r="2535" spans="1:10" x14ac:dyDescent="0.2">
      <c r="A2535" s="626"/>
      <c r="B2535" s="637"/>
      <c r="C2535" s="637"/>
      <c r="D2535" s="637"/>
      <c r="E2535" s="637"/>
      <c r="F2535" s="637"/>
      <c r="G2535" s="637"/>
      <c r="H2535" s="637"/>
      <c r="I2535" s="637"/>
      <c r="J2535" s="637"/>
    </row>
    <row r="2536" spans="1:10" x14ac:dyDescent="0.2">
      <c r="A2536" s="626"/>
      <c r="B2536" s="637"/>
      <c r="C2536" s="637"/>
      <c r="D2536" s="637"/>
      <c r="E2536" s="637"/>
      <c r="F2536" s="637"/>
      <c r="G2536" s="637"/>
      <c r="H2536" s="637"/>
      <c r="I2536" s="637"/>
      <c r="J2536" s="637"/>
    </row>
    <row r="2537" spans="1:10" x14ac:dyDescent="0.2">
      <c r="A2537" s="626"/>
      <c r="B2537" s="637"/>
      <c r="C2537" s="637"/>
      <c r="D2537" s="637"/>
      <c r="E2537" s="637"/>
      <c r="F2537" s="637"/>
      <c r="G2537" s="637"/>
      <c r="H2537" s="637"/>
      <c r="I2537" s="637"/>
      <c r="J2537" s="637"/>
    </row>
    <row r="2538" spans="1:10" x14ac:dyDescent="0.2">
      <c r="A2538" s="626"/>
      <c r="B2538" s="637"/>
      <c r="C2538" s="637"/>
      <c r="D2538" s="637"/>
      <c r="E2538" s="637"/>
      <c r="F2538" s="637"/>
      <c r="G2538" s="637"/>
      <c r="H2538" s="637"/>
      <c r="I2538" s="637"/>
      <c r="J2538" s="637"/>
    </row>
    <row r="2539" spans="1:10" x14ac:dyDescent="0.2">
      <c r="A2539" s="626"/>
      <c r="B2539" s="637"/>
      <c r="C2539" s="637"/>
      <c r="D2539" s="637"/>
      <c r="E2539" s="637"/>
      <c r="F2539" s="637"/>
      <c r="G2539" s="637"/>
      <c r="H2539" s="637"/>
      <c r="I2539" s="637"/>
      <c r="J2539" s="637"/>
    </row>
    <row r="2540" spans="1:10" x14ac:dyDescent="0.2">
      <c r="A2540" s="626"/>
      <c r="B2540" s="637"/>
      <c r="C2540" s="637"/>
      <c r="D2540" s="637"/>
      <c r="E2540" s="637"/>
      <c r="F2540" s="637"/>
      <c r="G2540" s="637"/>
      <c r="H2540" s="637"/>
      <c r="I2540" s="637"/>
      <c r="J2540" s="637"/>
    </row>
    <row r="2541" spans="1:10" x14ac:dyDescent="0.2">
      <c r="A2541" s="626"/>
      <c r="B2541" s="637"/>
      <c r="C2541" s="637"/>
      <c r="D2541" s="637"/>
      <c r="E2541" s="637"/>
      <c r="F2541" s="637"/>
      <c r="G2541" s="637"/>
      <c r="H2541" s="637"/>
      <c r="I2541" s="637"/>
      <c r="J2541" s="637"/>
    </row>
    <row r="2542" spans="1:10" x14ac:dyDescent="0.2">
      <c r="A2542" s="626"/>
      <c r="B2542" s="637"/>
      <c r="C2542" s="637"/>
      <c r="D2542" s="637"/>
      <c r="E2542" s="637"/>
      <c r="F2542" s="637"/>
      <c r="G2542" s="637"/>
      <c r="H2542" s="637"/>
      <c r="I2542" s="637"/>
      <c r="J2542" s="637"/>
    </row>
    <row r="2543" spans="1:10" x14ac:dyDescent="0.2">
      <c r="A2543" s="626"/>
      <c r="B2543" s="637"/>
      <c r="C2543" s="637"/>
      <c r="D2543" s="637"/>
      <c r="E2543" s="637"/>
      <c r="F2543" s="637"/>
      <c r="G2543" s="637"/>
      <c r="H2543" s="637"/>
      <c r="I2543" s="637"/>
      <c r="J2543" s="637"/>
    </row>
    <row r="2544" spans="1:10" x14ac:dyDescent="0.2">
      <c r="A2544" s="626"/>
      <c r="B2544" s="637"/>
      <c r="C2544" s="637"/>
      <c r="D2544" s="637"/>
      <c r="E2544" s="637"/>
      <c r="F2544" s="637"/>
      <c r="G2544" s="637"/>
      <c r="H2544" s="637"/>
      <c r="I2544" s="637"/>
      <c r="J2544" s="637"/>
    </row>
    <row r="2545" spans="1:10" x14ac:dyDescent="0.2">
      <c r="A2545" s="626"/>
      <c r="B2545" s="637"/>
      <c r="C2545" s="637"/>
      <c r="D2545" s="637"/>
      <c r="E2545" s="637"/>
      <c r="F2545" s="637"/>
      <c r="G2545" s="637"/>
      <c r="H2545" s="637"/>
      <c r="I2545" s="637"/>
      <c r="J2545" s="637"/>
    </row>
    <row r="2546" spans="1:10" x14ac:dyDescent="0.2">
      <c r="A2546" s="626"/>
      <c r="B2546" s="637"/>
      <c r="C2546" s="637"/>
      <c r="D2546" s="637"/>
      <c r="E2546" s="637"/>
      <c r="F2546" s="637"/>
      <c r="G2546" s="637"/>
      <c r="H2546" s="637"/>
      <c r="I2546" s="637"/>
      <c r="J2546" s="637"/>
    </row>
    <row r="2547" spans="1:10" x14ac:dyDescent="0.2">
      <c r="A2547" s="626"/>
      <c r="B2547" s="637"/>
      <c r="C2547" s="637"/>
      <c r="D2547" s="637"/>
      <c r="E2547" s="637"/>
      <c r="F2547" s="637"/>
      <c r="G2547" s="637"/>
      <c r="H2547" s="637"/>
      <c r="I2547" s="637"/>
      <c r="J2547" s="637"/>
    </row>
    <row r="2548" spans="1:10" x14ac:dyDescent="0.2">
      <c r="A2548" s="626"/>
      <c r="B2548" s="637"/>
      <c r="C2548" s="637"/>
      <c r="D2548" s="637"/>
      <c r="E2548" s="637"/>
      <c r="F2548" s="637"/>
      <c r="G2548" s="637"/>
      <c r="H2548" s="637"/>
      <c r="I2548" s="637"/>
      <c r="J2548" s="637"/>
    </row>
    <row r="2549" spans="1:10" x14ac:dyDescent="0.2">
      <c r="A2549" s="626"/>
      <c r="B2549" s="637"/>
      <c r="C2549" s="637"/>
      <c r="D2549" s="637"/>
      <c r="E2549" s="637"/>
      <c r="F2549" s="637"/>
      <c r="G2549" s="637"/>
      <c r="H2549" s="637"/>
      <c r="I2549" s="637"/>
      <c r="J2549" s="637"/>
    </row>
    <row r="2550" spans="1:10" x14ac:dyDescent="0.2">
      <c r="A2550" s="626"/>
      <c r="B2550" s="637"/>
      <c r="C2550" s="637"/>
      <c r="D2550" s="637"/>
      <c r="E2550" s="637"/>
      <c r="F2550" s="637"/>
      <c r="G2550" s="637"/>
      <c r="H2550" s="637"/>
      <c r="I2550" s="637"/>
      <c r="J2550" s="637"/>
    </row>
    <row r="2551" spans="1:10" x14ac:dyDescent="0.2">
      <c r="A2551" s="626"/>
      <c r="B2551" s="637"/>
      <c r="C2551" s="637"/>
      <c r="D2551" s="637"/>
      <c r="E2551" s="637"/>
      <c r="F2551" s="637"/>
      <c r="G2551" s="637"/>
      <c r="H2551" s="637"/>
      <c r="I2551" s="637"/>
      <c r="J2551" s="637"/>
    </row>
    <row r="2552" spans="1:10" x14ac:dyDescent="0.2">
      <c r="A2552" s="626"/>
      <c r="B2552" s="637"/>
      <c r="C2552" s="637"/>
      <c r="D2552" s="637"/>
      <c r="E2552" s="637"/>
      <c r="F2552" s="637"/>
      <c r="G2552" s="637"/>
      <c r="H2552" s="637"/>
      <c r="I2552" s="637"/>
      <c r="J2552" s="637"/>
    </row>
    <row r="2553" spans="1:10" x14ac:dyDescent="0.2">
      <c r="A2553" s="626"/>
      <c r="B2553" s="637"/>
      <c r="C2553" s="637"/>
      <c r="D2553" s="637"/>
      <c r="E2553" s="637"/>
      <c r="F2553" s="637"/>
      <c r="G2553" s="637"/>
      <c r="H2553" s="637"/>
      <c r="I2553" s="637"/>
      <c r="J2553" s="637"/>
    </row>
    <row r="2554" spans="1:10" x14ac:dyDescent="0.2">
      <c r="A2554" s="626"/>
      <c r="B2554" s="637"/>
      <c r="C2554" s="637"/>
      <c r="D2554" s="637"/>
      <c r="E2554" s="637"/>
      <c r="F2554" s="637"/>
      <c r="G2554" s="637"/>
      <c r="H2554" s="637"/>
      <c r="I2554" s="637"/>
      <c r="J2554" s="637"/>
    </row>
    <row r="2555" spans="1:10" x14ac:dyDescent="0.2">
      <c r="A2555" s="626"/>
      <c r="B2555" s="637"/>
      <c r="C2555" s="637"/>
      <c r="D2555" s="637"/>
      <c r="E2555" s="637"/>
      <c r="F2555" s="637"/>
      <c r="G2555" s="637"/>
      <c r="H2555" s="637"/>
      <c r="I2555" s="637"/>
      <c r="J2555" s="637"/>
    </row>
    <row r="2556" spans="1:10" x14ac:dyDescent="0.2">
      <c r="A2556" s="626"/>
      <c r="B2556" s="637"/>
      <c r="C2556" s="637"/>
      <c r="D2556" s="637"/>
      <c r="E2556" s="637"/>
      <c r="F2556" s="637"/>
      <c r="G2556" s="637"/>
      <c r="H2556" s="637"/>
      <c r="I2556" s="637"/>
      <c r="J2556" s="637"/>
    </row>
    <row r="2557" spans="1:10" x14ac:dyDescent="0.2">
      <c r="A2557" s="626"/>
      <c r="B2557" s="637"/>
      <c r="C2557" s="637"/>
      <c r="D2557" s="637"/>
      <c r="E2557" s="637"/>
      <c r="F2557" s="637"/>
      <c r="G2557" s="637"/>
      <c r="H2557" s="637"/>
      <c r="I2557" s="637"/>
      <c r="J2557" s="637"/>
    </row>
    <row r="2558" spans="1:10" x14ac:dyDescent="0.2">
      <c r="A2558" s="626"/>
      <c r="B2558" s="637"/>
      <c r="C2558" s="637"/>
      <c r="D2558" s="637"/>
      <c r="E2558" s="637"/>
      <c r="F2558" s="637"/>
      <c r="G2558" s="637"/>
      <c r="H2558" s="637"/>
      <c r="I2558" s="637"/>
      <c r="J2558" s="637"/>
    </row>
    <row r="2559" spans="1:10" x14ac:dyDescent="0.2">
      <c r="A2559" s="626"/>
      <c r="B2559" s="637"/>
      <c r="C2559" s="637"/>
      <c r="D2559" s="637"/>
      <c r="E2559" s="637"/>
      <c r="F2559" s="637"/>
      <c r="G2559" s="637"/>
      <c r="H2559" s="637"/>
      <c r="I2559" s="637"/>
      <c r="J2559" s="637"/>
    </row>
    <row r="2560" spans="1:10" x14ac:dyDescent="0.2">
      <c r="A2560" s="626"/>
      <c r="B2560" s="637"/>
      <c r="C2560" s="637"/>
      <c r="D2560" s="637"/>
      <c r="E2560" s="637"/>
      <c r="F2560" s="637"/>
      <c r="G2560" s="637"/>
      <c r="H2560" s="637"/>
      <c r="I2560" s="637"/>
      <c r="J2560" s="637"/>
    </row>
    <row r="2561" spans="1:10" x14ac:dyDescent="0.2">
      <c r="A2561" s="626"/>
      <c r="B2561" s="637"/>
      <c r="C2561" s="637"/>
      <c r="D2561" s="637"/>
      <c r="E2561" s="637"/>
      <c r="F2561" s="637"/>
      <c r="G2561" s="637"/>
      <c r="H2561" s="637"/>
      <c r="I2561" s="637"/>
      <c r="J2561" s="637"/>
    </row>
    <row r="2562" spans="1:10" x14ac:dyDescent="0.2">
      <c r="A2562" s="626"/>
      <c r="B2562" s="637"/>
      <c r="C2562" s="637"/>
      <c r="D2562" s="637"/>
      <c r="E2562" s="637"/>
      <c r="F2562" s="637"/>
      <c r="G2562" s="637"/>
      <c r="H2562" s="637"/>
      <c r="I2562" s="637"/>
      <c r="J2562" s="637"/>
    </row>
    <row r="2563" spans="1:10" x14ac:dyDescent="0.2">
      <c r="A2563" s="626"/>
      <c r="B2563" s="637"/>
      <c r="C2563" s="637"/>
      <c r="D2563" s="637"/>
      <c r="E2563" s="637"/>
      <c r="F2563" s="637"/>
      <c r="G2563" s="637"/>
      <c r="H2563" s="637"/>
      <c r="I2563" s="637"/>
      <c r="J2563" s="637"/>
    </row>
    <row r="2564" spans="1:10" x14ac:dyDescent="0.2">
      <c r="A2564" s="626"/>
      <c r="B2564" s="637"/>
      <c r="C2564" s="637"/>
      <c r="D2564" s="637"/>
      <c r="E2564" s="637"/>
      <c r="F2564" s="637"/>
      <c r="G2564" s="637"/>
      <c r="H2564" s="637"/>
      <c r="I2564" s="637"/>
      <c r="J2564" s="637"/>
    </row>
    <row r="2565" spans="1:10" x14ac:dyDescent="0.2">
      <c r="A2565" s="626"/>
      <c r="B2565" s="637"/>
      <c r="C2565" s="637"/>
      <c r="D2565" s="637"/>
      <c r="E2565" s="637"/>
      <c r="F2565" s="637"/>
      <c r="G2565" s="637"/>
      <c r="H2565" s="637"/>
      <c r="I2565" s="637"/>
      <c r="J2565" s="637"/>
    </row>
    <row r="2566" spans="1:10" x14ac:dyDescent="0.2">
      <c r="A2566" s="626"/>
      <c r="B2566" s="637"/>
      <c r="C2566" s="637"/>
      <c r="D2566" s="637"/>
      <c r="E2566" s="637"/>
      <c r="F2566" s="637"/>
      <c r="G2566" s="637"/>
      <c r="H2566" s="637"/>
      <c r="I2566" s="637"/>
      <c r="J2566" s="637"/>
    </row>
    <row r="2567" spans="1:10" x14ac:dyDescent="0.2">
      <c r="A2567" s="626"/>
      <c r="B2567" s="637"/>
      <c r="C2567" s="637"/>
      <c r="D2567" s="637"/>
      <c r="E2567" s="637"/>
      <c r="F2567" s="637"/>
      <c r="G2567" s="637"/>
      <c r="H2567" s="637"/>
      <c r="I2567" s="637"/>
      <c r="J2567" s="637"/>
    </row>
    <row r="2568" spans="1:10" x14ac:dyDescent="0.2">
      <c r="A2568" s="626"/>
      <c r="B2568" s="637"/>
      <c r="C2568" s="637"/>
      <c r="D2568" s="637"/>
      <c r="E2568" s="637"/>
      <c r="F2568" s="637"/>
      <c r="G2568" s="637"/>
      <c r="H2568" s="637"/>
      <c r="I2568" s="637"/>
      <c r="J2568" s="637"/>
    </row>
    <row r="2569" spans="1:10" x14ac:dyDescent="0.2">
      <c r="A2569" s="626"/>
      <c r="B2569" s="637"/>
      <c r="C2569" s="637"/>
      <c r="D2569" s="637"/>
      <c r="E2569" s="637"/>
      <c r="F2569" s="637"/>
      <c r="G2569" s="637"/>
      <c r="H2569" s="637"/>
      <c r="I2569" s="637"/>
      <c r="J2569" s="637"/>
    </row>
    <row r="2570" spans="1:10" x14ac:dyDescent="0.2">
      <c r="A2570" s="626"/>
      <c r="B2570" s="637"/>
      <c r="C2570" s="637"/>
      <c r="D2570" s="637"/>
      <c r="E2570" s="637"/>
      <c r="F2570" s="637"/>
      <c r="G2570" s="637"/>
      <c r="H2570" s="637"/>
      <c r="I2570" s="637"/>
      <c r="J2570" s="637"/>
    </row>
    <row r="2571" spans="1:10" x14ac:dyDescent="0.2">
      <c r="A2571" s="626"/>
      <c r="B2571" s="637"/>
      <c r="C2571" s="637"/>
      <c r="D2571" s="637"/>
      <c r="E2571" s="637"/>
      <c r="F2571" s="637"/>
      <c r="G2571" s="637"/>
      <c r="H2571" s="637"/>
      <c r="I2571" s="637"/>
      <c r="J2571" s="637"/>
    </row>
    <row r="2572" spans="1:10" x14ac:dyDescent="0.2">
      <c r="A2572" s="626"/>
      <c r="B2572" s="637"/>
      <c r="C2572" s="637"/>
      <c r="D2572" s="637"/>
      <c r="E2572" s="637"/>
      <c r="F2572" s="637"/>
      <c r="G2572" s="637"/>
      <c r="H2572" s="637"/>
      <c r="I2572" s="637"/>
      <c r="J2572" s="637"/>
    </row>
    <row r="2573" spans="1:10" x14ac:dyDescent="0.2">
      <c r="A2573" s="626"/>
      <c r="B2573" s="637"/>
      <c r="C2573" s="637"/>
      <c r="D2573" s="637"/>
      <c r="E2573" s="637"/>
      <c r="F2573" s="637"/>
      <c r="G2573" s="637"/>
      <c r="H2573" s="637"/>
      <c r="I2573" s="637"/>
      <c r="J2573" s="637"/>
    </row>
    <row r="2574" spans="1:10" x14ac:dyDescent="0.2">
      <c r="A2574" s="626"/>
      <c r="B2574" s="637"/>
      <c r="C2574" s="637"/>
      <c r="D2574" s="637"/>
      <c r="E2574" s="637"/>
      <c r="F2574" s="637"/>
      <c r="G2574" s="637"/>
      <c r="H2574" s="637"/>
      <c r="I2574" s="637"/>
      <c r="J2574" s="637"/>
    </row>
    <row r="2575" spans="1:10" x14ac:dyDescent="0.2">
      <c r="A2575" s="626"/>
      <c r="B2575" s="637"/>
      <c r="C2575" s="637"/>
      <c r="D2575" s="637"/>
      <c r="E2575" s="637"/>
      <c r="F2575" s="637"/>
      <c r="G2575" s="637"/>
      <c r="H2575" s="637"/>
      <c r="I2575" s="637"/>
      <c r="J2575" s="637"/>
    </row>
    <row r="2576" spans="1:10" x14ac:dyDescent="0.2">
      <c r="A2576" s="626"/>
      <c r="B2576" s="637"/>
      <c r="C2576" s="637"/>
      <c r="D2576" s="637"/>
      <c r="E2576" s="637"/>
      <c r="F2576" s="637"/>
      <c r="G2576" s="637"/>
      <c r="H2576" s="637"/>
      <c r="I2576" s="637"/>
      <c r="J2576" s="637"/>
    </row>
    <row r="2577" spans="1:10" x14ac:dyDescent="0.2">
      <c r="A2577" s="626"/>
      <c r="B2577" s="637"/>
      <c r="C2577" s="637"/>
      <c r="D2577" s="637"/>
      <c r="E2577" s="637"/>
      <c r="F2577" s="637"/>
      <c r="G2577" s="637"/>
      <c r="H2577" s="637"/>
      <c r="I2577" s="637"/>
      <c r="J2577" s="637"/>
    </row>
    <row r="2578" spans="1:10" x14ac:dyDescent="0.2">
      <c r="A2578" s="626"/>
      <c r="B2578" s="637"/>
      <c r="C2578" s="637"/>
      <c r="D2578" s="637"/>
      <c r="E2578" s="637"/>
      <c r="F2578" s="637"/>
      <c r="G2578" s="637"/>
      <c r="H2578" s="637"/>
      <c r="I2578" s="637"/>
      <c r="J2578" s="637"/>
    </row>
    <row r="2579" spans="1:10" x14ac:dyDescent="0.2">
      <c r="A2579" s="626"/>
      <c r="B2579" s="637"/>
      <c r="C2579" s="637"/>
      <c r="D2579" s="637"/>
      <c r="E2579" s="637"/>
      <c r="F2579" s="637"/>
      <c r="G2579" s="637"/>
      <c r="H2579" s="637"/>
      <c r="I2579" s="637"/>
      <c r="J2579" s="637"/>
    </row>
    <row r="2580" spans="1:10" x14ac:dyDescent="0.2">
      <c r="A2580" s="626"/>
      <c r="B2580" s="637"/>
      <c r="C2580" s="637"/>
      <c r="D2580" s="637"/>
      <c r="E2580" s="637"/>
      <c r="F2580" s="637"/>
      <c r="G2580" s="637"/>
      <c r="H2580" s="637"/>
      <c r="I2580" s="637"/>
      <c r="J2580" s="637"/>
    </row>
    <row r="2581" spans="1:10" x14ac:dyDescent="0.2">
      <c r="A2581" s="626"/>
      <c r="B2581" s="637"/>
      <c r="C2581" s="637"/>
      <c r="D2581" s="637"/>
      <c r="E2581" s="637"/>
      <c r="F2581" s="637"/>
      <c r="G2581" s="637"/>
      <c r="H2581" s="637"/>
      <c r="I2581" s="637"/>
      <c r="J2581" s="637"/>
    </row>
    <row r="2582" spans="1:10" x14ac:dyDescent="0.2">
      <c r="A2582" s="626"/>
      <c r="B2582" s="637"/>
      <c r="C2582" s="637"/>
      <c r="D2582" s="637"/>
      <c r="E2582" s="637"/>
      <c r="F2582" s="637"/>
      <c r="G2582" s="637"/>
      <c r="H2582" s="637"/>
      <c r="I2582" s="637"/>
      <c r="J2582" s="637"/>
    </row>
    <row r="2583" spans="1:10" x14ac:dyDescent="0.2">
      <c r="A2583" s="626"/>
      <c r="B2583" s="637"/>
      <c r="C2583" s="637"/>
      <c r="D2583" s="637"/>
      <c r="E2583" s="637"/>
      <c r="F2583" s="637"/>
      <c r="G2583" s="637"/>
      <c r="H2583" s="637"/>
      <c r="I2583" s="637"/>
      <c r="J2583" s="637"/>
    </row>
    <row r="2584" spans="1:10" x14ac:dyDescent="0.2">
      <c r="A2584" s="626"/>
      <c r="B2584" s="637"/>
      <c r="C2584" s="637"/>
      <c r="D2584" s="637"/>
      <c r="E2584" s="637"/>
      <c r="F2584" s="637"/>
      <c r="G2584" s="637"/>
      <c r="H2584" s="637"/>
      <c r="I2584" s="637"/>
      <c r="J2584" s="637"/>
    </row>
    <row r="2585" spans="1:10" x14ac:dyDescent="0.2">
      <c r="A2585" s="626"/>
      <c r="B2585" s="637"/>
      <c r="C2585" s="637"/>
      <c r="D2585" s="637"/>
      <c r="E2585" s="637"/>
      <c r="F2585" s="637"/>
      <c r="G2585" s="637"/>
      <c r="H2585" s="637"/>
      <c r="I2585" s="637"/>
      <c r="J2585" s="637"/>
    </row>
    <row r="2586" spans="1:10" x14ac:dyDescent="0.2">
      <c r="A2586" s="626"/>
      <c r="B2586" s="637"/>
      <c r="C2586" s="637"/>
      <c r="D2586" s="637"/>
      <c r="E2586" s="637"/>
      <c r="F2586" s="637"/>
      <c r="G2586" s="637"/>
      <c r="H2586" s="637"/>
      <c r="I2586" s="637"/>
      <c r="J2586" s="637"/>
    </row>
    <row r="2587" spans="1:10" x14ac:dyDescent="0.2">
      <c r="A2587" s="626"/>
      <c r="B2587" s="637"/>
      <c r="C2587" s="637"/>
      <c r="D2587" s="637"/>
      <c r="E2587" s="637"/>
      <c r="F2587" s="637"/>
      <c r="G2587" s="637"/>
      <c r="H2587" s="637"/>
      <c r="I2587" s="637"/>
      <c r="J2587" s="637"/>
    </row>
    <row r="2588" spans="1:10" x14ac:dyDescent="0.2">
      <c r="A2588" s="626"/>
      <c r="B2588" s="637"/>
      <c r="C2588" s="637"/>
      <c r="D2588" s="637"/>
      <c r="E2588" s="637"/>
      <c r="F2588" s="637"/>
      <c r="G2588" s="637"/>
      <c r="H2588" s="637"/>
      <c r="I2588" s="637"/>
      <c r="J2588" s="637"/>
    </row>
    <row r="2589" spans="1:10" x14ac:dyDescent="0.2">
      <c r="A2589" s="626"/>
      <c r="B2589" s="637"/>
      <c r="C2589" s="637"/>
      <c r="D2589" s="637"/>
      <c r="E2589" s="637"/>
      <c r="F2589" s="637"/>
      <c r="G2589" s="637"/>
      <c r="H2589" s="637"/>
      <c r="I2589" s="637"/>
      <c r="J2589" s="637"/>
    </row>
    <row r="2590" spans="1:10" x14ac:dyDescent="0.2">
      <c r="A2590" s="626"/>
      <c r="B2590" s="637"/>
      <c r="C2590" s="637"/>
      <c r="D2590" s="637"/>
      <c r="E2590" s="637"/>
      <c r="F2590" s="637"/>
      <c r="G2590" s="637"/>
      <c r="H2590" s="637"/>
      <c r="I2590" s="637"/>
      <c r="J2590" s="637"/>
    </row>
    <row r="2591" spans="1:10" x14ac:dyDescent="0.2">
      <c r="A2591" s="626"/>
      <c r="B2591" s="637"/>
      <c r="C2591" s="637"/>
      <c r="D2591" s="637"/>
      <c r="E2591" s="637"/>
      <c r="F2591" s="637"/>
      <c r="G2591" s="637"/>
      <c r="H2591" s="637"/>
      <c r="I2591" s="637"/>
      <c r="J2591" s="637"/>
    </row>
    <row r="2592" spans="1:10" x14ac:dyDescent="0.2">
      <c r="A2592" s="626"/>
      <c r="B2592" s="637"/>
      <c r="C2592" s="637"/>
      <c r="D2592" s="637"/>
      <c r="E2592" s="637"/>
      <c r="F2592" s="637"/>
      <c r="G2592" s="637"/>
      <c r="H2592" s="637"/>
      <c r="I2592" s="637"/>
      <c r="J2592" s="637"/>
    </row>
    <row r="2593" spans="1:10" x14ac:dyDescent="0.2">
      <c r="A2593" s="626"/>
      <c r="B2593" s="637"/>
      <c r="C2593" s="637"/>
      <c r="D2593" s="637"/>
      <c r="E2593" s="637"/>
      <c r="F2593" s="637"/>
      <c r="G2593" s="637"/>
      <c r="H2593" s="637"/>
      <c r="I2593" s="637"/>
      <c r="J2593" s="637"/>
    </row>
    <row r="2594" spans="1:10" x14ac:dyDescent="0.2">
      <c r="A2594" s="626"/>
      <c r="B2594" s="637"/>
      <c r="C2594" s="637"/>
      <c r="D2594" s="637"/>
      <c r="E2594" s="637"/>
      <c r="F2594" s="637"/>
      <c r="G2594" s="637"/>
      <c r="H2594" s="637"/>
      <c r="I2594" s="637"/>
      <c r="J2594" s="637"/>
    </row>
    <row r="2595" spans="1:10" x14ac:dyDescent="0.2">
      <c r="A2595" s="626"/>
      <c r="B2595" s="637"/>
      <c r="C2595" s="637"/>
      <c r="D2595" s="637"/>
      <c r="E2595" s="637"/>
      <c r="F2595" s="637"/>
      <c r="G2595" s="637"/>
      <c r="H2595" s="637"/>
      <c r="I2595" s="637"/>
      <c r="J2595" s="637"/>
    </row>
    <row r="2596" spans="1:10" x14ac:dyDescent="0.2">
      <c r="A2596" s="626"/>
      <c r="B2596" s="637"/>
      <c r="C2596" s="637"/>
      <c r="D2596" s="637"/>
      <c r="E2596" s="637"/>
      <c r="F2596" s="637"/>
      <c r="G2596" s="637"/>
      <c r="H2596" s="637"/>
      <c r="I2596" s="637"/>
      <c r="J2596" s="637"/>
    </row>
    <row r="2597" spans="1:10" x14ac:dyDescent="0.2">
      <c r="A2597" s="626"/>
      <c r="B2597" s="637"/>
      <c r="C2597" s="637"/>
      <c r="D2597" s="637"/>
      <c r="E2597" s="637"/>
      <c r="F2597" s="637"/>
      <c r="G2597" s="637"/>
      <c r="H2597" s="637"/>
      <c r="I2597" s="637"/>
      <c r="J2597" s="637"/>
    </row>
    <row r="2598" spans="1:10" x14ac:dyDescent="0.2">
      <c r="A2598" s="626"/>
      <c r="B2598" s="637"/>
      <c r="C2598" s="637"/>
      <c r="D2598" s="637"/>
      <c r="E2598" s="637"/>
      <c r="F2598" s="637"/>
      <c r="G2598" s="637"/>
      <c r="H2598" s="637"/>
      <c r="I2598" s="637"/>
      <c r="J2598" s="637"/>
    </row>
    <row r="2599" spans="1:10" x14ac:dyDescent="0.2">
      <c r="A2599" s="626"/>
      <c r="B2599" s="637"/>
      <c r="C2599" s="637"/>
      <c r="D2599" s="637"/>
      <c r="E2599" s="637"/>
      <c r="F2599" s="637"/>
      <c r="G2599" s="637"/>
      <c r="H2599" s="637"/>
      <c r="I2599" s="637"/>
      <c r="J2599" s="637"/>
    </row>
    <row r="2600" spans="1:10" x14ac:dyDescent="0.2">
      <c r="A2600" s="626"/>
      <c r="B2600" s="637"/>
      <c r="C2600" s="637"/>
      <c r="D2600" s="637"/>
      <c r="E2600" s="637"/>
      <c r="F2600" s="637"/>
      <c r="G2600" s="637"/>
      <c r="H2600" s="637"/>
      <c r="I2600" s="637"/>
      <c r="J2600" s="637"/>
    </row>
    <row r="2601" spans="1:10" x14ac:dyDescent="0.2">
      <c r="A2601" s="626"/>
      <c r="B2601" s="637"/>
      <c r="C2601" s="637"/>
      <c r="D2601" s="637"/>
      <c r="E2601" s="637"/>
      <c r="F2601" s="637"/>
      <c r="G2601" s="637"/>
      <c r="H2601" s="637"/>
      <c r="I2601" s="637"/>
      <c r="J2601" s="637"/>
    </row>
    <row r="2602" spans="1:10" x14ac:dyDescent="0.2">
      <c r="A2602" s="626"/>
      <c r="B2602" s="637"/>
      <c r="C2602" s="637"/>
      <c r="D2602" s="637"/>
      <c r="E2602" s="637"/>
      <c r="F2602" s="637"/>
      <c r="G2602" s="637"/>
      <c r="H2602" s="637"/>
      <c r="I2602" s="637"/>
      <c r="J2602" s="637"/>
    </row>
    <row r="2603" spans="1:10" x14ac:dyDescent="0.2">
      <c r="A2603" s="626"/>
      <c r="B2603" s="637"/>
      <c r="C2603" s="637"/>
      <c r="D2603" s="637"/>
      <c r="E2603" s="637"/>
      <c r="F2603" s="637"/>
      <c r="G2603" s="637"/>
      <c r="H2603" s="637"/>
      <c r="I2603" s="637"/>
      <c r="J2603" s="637"/>
    </row>
    <row r="2604" spans="1:10" x14ac:dyDescent="0.2">
      <c r="A2604" s="626"/>
      <c r="B2604" s="637"/>
      <c r="C2604" s="637"/>
      <c r="D2604" s="637"/>
      <c r="E2604" s="637"/>
      <c r="F2604" s="637"/>
      <c r="G2604" s="637"/>
      <c r="H2604" s="637"/>
      <c r="I2604" s="637"/>
      <c r="J2604" s="637"/>
    </row>
    <row r="2605" spans="1:10" x14ac:dyDescent="0.2">
      <c r="A2605" s="626"/>
      <c r="B2605" s="637"/>
      <c r="C2605" s="637"/>
      <c r="D2605" s="637"/>
      <c r="E2605" s="637"/>
      <c r="F2605" s="637"/>
      <c r="G2605" s="637"/>
      <c r="H2605" s="637"/>
      <c r="I2605" s="637"/>
      <c r="J2605" s="637"/>
    </row>
    <row r="2606" spans="1:10" x14ac:dyDescent="0.2">
      <c r="A2606" s="626"/>
      <c r="B2606" s="637"/>
      <c r="C2606" s="637"/>
      <c r="D2606" s="637"/>
      <c r="E2606" s="637"/>
      <c r="F2606" s="637"/>
      <c r="G2606" s="637"/>
      <c r="H2606" s="637"/>
      <c r="I2606" s="637"/>
      <c r="J2606" s="637"/>
    </row>
    <row r="2607" spans="1:10" x14ac:dyDescent="0.2">
      <c r="A2607" s="626"/>
      <c r="B2607" s="637"/>
      <c r="C2607" s="637"/>
      <c r="D2607" s="637"/>
      <c r="E2607" s="637"/>
      <c r="F2607" s="637"/>
      <c r="G2607" s="637"/>
      <c r="H2607" s="637"/>
      <c r="I2607" s="637"/>
      <c r="J2607" s="637"/>
    </row>
    <row r="2608" spans="1:10" x14ac:dyDescent="0.2">
      <c r="A2608" s="626"/>
      <c r="B2608" s="637"/>
      <c r="C2608" s="637"/>
      <c r="D2608" s="637"/>
      <c r="E2608" s="637"/>
      <c r="F2608" s="637"/>
      <c r="G2608" s="637"/>
      <c r="H2608" s="637"/>
      <c r="I2608" s="637"/>
      <c r="J2608" s="637"/>
    </row>
    <row r="2609" spans="1:10" x14ac:dyDescent="0.2">
      <c r="A2609" s="626"/>
      <c r="B2609" s="637"/>
      <c r="C2609" s="637"/>
      <c r="D2609" s="637"/>
      <c r="E2609" s="637"/>
      <c r="F2609" s="637"/>
      <c r="G2609" s="637"/>
      <c r="H2609" s="637"/>
      <c r="I2609" s="637"/>
      <c r="J2609" s="637"/>
    </row>
    <row r="2610" spans="1:10" x14ac:dyDescent="0.2">
      <c r="A2610" s="626"/>
      <c r="B2610" s="637"/>
      <c r="C2610" s="637"/>
      <c r="D2610" s="637"/>
      <c r="E2610" s="637"/>
      <c r="F2610" s="637"/>
      <c r="G2610" s="637"/>
      <c r="H2610" s="637"/>
      <c r="I2610" s="637"/>
      <c r="J2610" s="637"/>
    </row>
    <row r="2611" spans="1:10" x14ac:dyDescent="0.2">
      <c r="A2611" s="626"/>
      <c r="B2611" s="637"/>
      <c r="C2611" s="637"/>
      <c r="D2611" s="637"/>
      <c r="E2611" s="637"/>
      <c r="F2611" s="637"/>
      <c r="G2611" s="637"/>
      <c r="H2611" s="637"/>
      <c r="I2611" s="637"/>
      <c r="J2611" s="637"/>
    </row>
    <row r="2612" spans="1:10" x14ac:dyDescent="0.2">
      <c r="A2612" s="626"/>
      <c r="B2612" s="637"/>
      <c r="C2612" s="637"/>
      <c r="D2612" s="637"/>
      <c r="E2612" s="637"/>
      <c r="F2612" s="637"/>
      <c r="G2612" s="637"/>
      <c r="H2612" s="637"/>
      <c r="I2612" s="637"/>
      <c r="J2612" s="637"/>
    </row>
    <row r="2613" spans="1:10" x14ac:dyDescent="0.2">
      <c r="A2613" s="626"/>
      <c r="B2613" s="637"/>
      <c r="C2613" s="637"/>
      <c r="D2613" s="637"/>
      <c r="E2613" s="637"/>
      <c r="F2613" s="637"/>
      <c r="G2613" s="637"/>
      <c r="H2613" s="637"/>
      <c r="I2613" s="637"/>
      <c r="J2613" s="637"/>
    </row>
    <row r="2614" spans="1:10" x14ac:dyDescent="0.2">
      <c r="A2614" s="626"/>
      <c r="B2614" s="637"/>
      <c r="C2614" s="637"/>
      <c r="D2614" s="637"/>
      <c r="E2614" s="637"/>
      <c r="F2614" s="637"/>
      <c r="G2614" s="637"/>
      <c r="H2614" s="637"/>
      <c r="I2614" s="637"/>
      <c r="J2614" s="637"/>
    </row>
    <row r="2615" spans="1:10" x14ac:dyDescent="0.2">
      <c r="A2615" s="626"/>
      <c r="B2615" s="637"/>
      <c r="C2615" s="637"/>
      <c r="D2615" s="637"/>
      <c r="E2615" s="637"/>
      <c r="F2615" s="637"/>
      <c r="G2615" s="637"/>
      <c r="H2615" s="637"/>
      <c r="I2615" s="637"/>
      <c r="J2615" s="637"/>
    </row>
    <row r="2616" spans="1:10" x14ac:dyDescent="0.2">
      <c r="A2616" s="626"/>
      <c r="B2616" s="637"/>
      <c r="C2616" s="637"/>
      <c r="D2616" s="637"/>
      <c r="E2616" s="637"/>
      <c r="F2616" s="637"/>
      <c r="G2616" s="637"/>
      <c r="H2616" s="637"/>
      <c r="I2616" s="637"/>
      <c r="J2616" s="637"/>
    </row>
    <row r="2617" spans="1:10" x14ac:dyDescent="0.2">
      <c r="A2617" s="626"/>
      <c r="B2617" s="637"/>
      <c r="C2617" s="637"/>
      <c r="D2617" s="637"/>
      <c r="E2617" s="637"/>
      <c r="F2617" s="637"/>
      <c r="G2617" s="637"/>
      <c r="H2617" s="637"/>
      <c r="I2617" s="637"/>
      <c r="J2617" s="637"/>
    </row>
    <row r="2618" spans="1:10" x14ac:dyDescent="0.2">
      <c r="A2618" s="626"/>
      <c r="B2618" s="637"/>
      <c r="C2618" s="637"/>
      <c r="D2618" s="637"/>
      <c r="E2618" s="637"/>
      <c r="F2618" s="637"/>
      <c r="G2618" s="637"/>
      <c r="H2618" s="637"/>
      <c r="I2618" s="637"/>
      <c r="J2618" s="637"/>
    </row>
    <row r="2619" spans="1:10" x14ac:dyDescent="0.2">
      <c r="A2619" s="626"/>
      <c r="B2619" s="637"/>
      <c r="C2619" s="637"/>
      <c r="D2619" s="637"/>
      <c r="E2619" s="637"/>
      <c r="F2619" s="637"/>
      <c r="G2619" s="637"/>
      <c r="H2619" s="637"/>
      <c r="I2619" s="637"/>
      <c r="J2619" s="637"/>
    </row>
    <row r="2620" spans="1:10" x14ac:dyDescent="0.2">
      <c r="A2620" s="626"/>
      <c r="B2620" s="637"/>
      <c r="C2620" s="637"/>
      <c r="D2620" s="637"/>
      <c r="E2620" s="637"/>
      <c r="F2620" s="637"/>
      <c r="G2620" s="637"/>
      <c r="H2620" s="637"/>
      <c r="I2620" s="637"/>
      <c r="J2620" s="637"/>
    </row>
    <row r="2621" spans="1:10" x14ac:dyDescent="0.2">
      <c r="A2621" s="626"/>
      <c r="B2621" s="637"/>
      <c r="C2621" s="637"/>
      <c r="D2621" s="637"/>
      <c r="E2621" s="637"/>
      <c r="F2621" s="637"/>
      <c r="G2621" s="637"/>
      <c r="H2621" s="637"/>
      <c r="I2621" s="637"/>
      <c r="J2621" s="637"/>
    </row>
    <row r="2622" spans="1:10" x14ac:dyDescent="0.2">
      <c r="A2622" s="626"/>
      <c r="B2622" s="637"/>
      <c r="C2622" s="637"/>
      <c r="D2622" s="637"/>
      <c r="E2622" s="637"/>
      <c r="F2622" s="637"/>
      <c r="G2622" s="637"/>
      <c r="H2622" s="637"/>
      <c r="I2622" s="637"/>
      <c r="J2622" s="637"/>
    </row>
    <row r="2623" spans="1:10" x14ac:dyDescent="0.2">
      <c r="A2623" s="626"/>
      <c r="B2623" s="637"/>
      <c r="C2623" s="637"/>
      <c r="D2623" s="637"/>
      <c r="E2623" s="637"/>
      <c r="F2623" s="637"/>
      <c r="G2623" s="637"/>
      <c r="H2623" s="637"/>
      <c r="I2623" s="637"/>
      <c r="J2623" s="637"/>
    </row>
    <row r="2624" spans="1:10" x14ac:dyDescent="0.2">
      <c r="A2624" s="626"/>
      <c r="B2624" s="637"/>
      <c r="C2624" s="637"/>
      <c r="D2624" s="637"/>
      <c r="E2624" s="637"/>
      <c r="F2624" s="637"/>
      <c r="G2624" s="637"/>
      <c r="H2624" s="637"/>
      <c r="I2624" s="637"/>
      <c r="J2624" s="637"/>
    </row>
    <row r="2625" spans="1:10" x14ac:dyDescent="0.2">
      <c r="A2625" s="626"/>
      <c r="B2625" s="637"/>
      <c r="C2625" s="637"/>
      <c r="D2625" s="637"/>
      <c r="E2625" s="637"/>
      <c r="F2625" s="637"/>
      <c r="G2625" s="637"/>
      <c r="H2625" s="637"/>
      <c r="I2625" s="637"/>
      <c r="J2625" s="637"/>
    </row>
    <row r="2626" spans="1:10" x14ac:dyDescent="0.2">
      <c r="A2626" s="626"/>
      <c r="B2626" s="637"/>
      <c r="C2626" s="637"/>
      <c r="D2626" s="637"/>
      <c r="E2626" s="637"/>
      <c r="F2626" s="637"/>
      <c r="G2626" s="637"/>
      <c r="H2626" s="637"/>
      <c r="I2626" s="637"/>
      <c r="J2626" s="637"/>
    </row>
    <row r="2627" spans="1:10" x14ac:dyDescent="0.2">
      <c r="A2627" s="626"/>
      <c r="B2627" s="637"/>
      <c r="C2627" s="637"/>
      <c r="D2627" s="637"/>
      <c r="E2627" s="637"/>
      <c r="F2627" s="637"/>
      <c r="G2627" s="637"/>
      <c r="H2627" s="637"/>
      <c r="I2627" s="637"/>
      <c r="J2627" s="637"/>
    </row>
    <row r="2628" spans="1:10" x14ac:dyDescent="0.2">
      <c r="A2628" s="626"/>
      <c r="B2628" s="637"/>
      <c r="C2628" s="637"/>
      <c r="D2628" s="637"/>
      <c r="E2628" s="637"/>
      <c r="F2628" s="637"/>
      <c r="G2628" s="637"/>
      <c r="H2628" s="637"/>
      <c r="I2628" s="637"/>
      <c r="J2628" s="637"/>
    </row>
    <row r="2629" spans="1:10" x14ac:dyDescent="0.2">
      <c r="A2629" s="626"/>
      <c r="B2629" s="637"/>
      <c r="C2629" s="637"/>
      <c r="D2629" s="637"/>
      <c r="E2629" s="637"/>
      <c r="F2629" s="637"/>
      <c r="G2629" s="637"/>
      <c r="H2629" s="637"/>
      <c r="I2629" s="637"/>
      <c r="J2629" s="637"/>
    </row>
    <row r="2630" spans="1:10" x14ac:dyDescent="0.2">
      <c r="A2630" s="626"/>
      <c r="B2630" s="637"/>
      <c r="C2630" s="637"/>
      <c r="D2630" s="637"/>
      <c r="E2630" s="637"/>
      <c r="F2630" s="637"/>
      <c r="G2630" s="637"/>
      <c r="H2630" s="637"/>
      <c r="I2630" s="637"/>
      <c r="J2630" s="637"/>
    </row>
    <row r="2631" spans="1:10" x14ac:dyDescent="0.2">
      <c r="A2631" s="626"/>
      <c r="B2631" s="637"/>
      <c r="C2631" s="637"/>
      <c r="D2631" s="637"/>
      <c r="E2631" s="637"/>
      <c r="F2631" s="637"/>
      <c r="G2631" s="637"/>
      <c r="H2631" s="637"/>
      <c r="I2631" s="637"/>
      <c r="J2631" s="637"/>
    </row>
    <row r="2632" spans="1:10" x14ac:dyDescent="0.2">
      <c r="A2632" s="626"/>
      <c r="B2632" s="637"/>
      <c r="C2632" s="637"/>
      <c r="D2632" s="637"/>
      <c r="E2632" s="637"/>
      <c r="F2632" s="637"/>
      <c r="G2632" s="637"/>
      <c r="H2632" s="637"/>
      <c r="I2632" s="637"/>
      <c r="J2632" s="637"/>
    </row>
    <row r="2633" spans="1:10" x14ac:dyDescent="0.2">
      <c r="A2633" s="626"/>
      <c r="B2633" s="637"/>
      <c r="C2633" s="637"/>
      <c r="D2633" s="637"/>
      <c r="E2633" s="637"/>
      <c r="F2633" s="637"/>
      <c r="G2633" s="637"/>
      <c r="H2633" s="637"/>
      <c r="I2633" s="637"/>
      <c r="J2633" s="637"/>
    </row>
    <row r="2634" spans="1:10" x14ac:dyDescent="0.2">
      <c r="A2634" s="626"/>
      <c r="B2634" s="637"/>
      <c r="C2634" s="637"/>
      <c r="D2634" s="637"/>
      <c r="E2634" s="637"/>
      <c r="F2634" s="637"/>
      <c r="G2634" s="637"/>
      <c r="H2634" s="637"/>
      <c r="I2634" s="637"/>
      <c r="J2634" s="637"/>
    </row>
    <row r="2635" spans="1:10" x14ac:dyDescent="0.2">
      <c r="A2635" s="626"/>
      <c r="B2635" s="637"/>
      <c r="C2635" s="637"/>
      <c r="D2635" s="637"/>
      <c r="E2635" s="637"/>
      <c r="F2635" s="637"/>
      <c r="G2635" s="637"/>
      <c r="H2635" s="637"/>
      <c r="I2635" s="637"/>
      <c r="J2635" s="637"/>
    </row>
    <row r="2636" spans="1:10" x14ac:dyDescent="0.2">
      <c r="A2636" s="626"/>
      <c r="B2636" s="637"/>
      <c r="C2636" s="637"/>
      <c r="D2636" s="637"/>
      <c r="E2636" s="637"/>
      <c r="F2636" s="637"/>
      <c r="G2636" s="637"/>
      <c r="H2636" s="637"/>
      <c r="I2636" s="637"/>
      <c r="J2636" s="637"/>
    </row>
    <row r="2637" spans="1:10" x14ac:dyDescent="0.2">
      <c r="A2637" s="626"/>
      <c r="B2637" s="637"/>
      <c r="C2637" s="637"/>
      <c r="D2637" s="637"/>
      <c r="E2637" s="637"/>
      <c r="F2637" s="637"/>
      <c r="G2637" s="637"/>
      <c r="H2637" s="637"/>
      <c r="I2637" s="637"/>
      <c r="J2637" s="637"/>
    </row>
    <row r="2638" spans="1:10" x14ac:dyDescent="0.2">
      <c r="A2638" s="626"/>
      <c r="B2638" s="637"/>
      <c r="C2638" s="637"/>
      <c r="D2638" s="637"/>
      <c r="E2638" s="637"/>
      <c r="F2638" s="637"/>
      <c r="G2638" s="637"/>
      <c r="H2638" s="637"/>
      <c r="I2638" s="637"/>
      <c r="J2638" s="637"/>
    </row>
    <row r="2639" spans="1:10" x14ac:dyDescent="0.2">
      <c r="A2639" s="626"/>
      <c r="B2639" s="637"/>
      <c r="C2639" s="637"/>
      <c r="D2639" s="637"/>
      <c r="E2639" s="637"/>
      <c r="F2639" s="637"/>
      <c r="G2639" s="637"/>
      <c r="H2639" s="637"/>
      <c r="I2639" s="637"/>
      <c r="J2639" s="637"/>
    </row>
    <row r="2640" spans="1:10" x14ac:dyDescent="0.2">
      <c r="A2640" s="626"/>
      <c r="B2640" s="637"/>
      <c r="C2640" s="637"/>
      <c r="D2640" s="637"/>
      <c r="E2640" s="637"/>
      <c r="F2640" s="637"/>
      <c r="G2640" s="637"/>
      <c r="H2640" s="637"/>
      <c r="I2640" s="637"/>
      <c r="J2640" s="637"/>
    </row>
    <row r="2641" spans="1:10" x14ac:dyDescent="0.2">
      <c r="A2641" s="626"/>
      <c r="B2641" s="637"/>
      <c r="C2641" s="637"/>
      <c r="D2641" s="637"/>
      <c r="E2641" s="637"/>
      <c r="F2641" s="637"/>
      <c r="G2641" s="637"/>
      <c r="H2641" s="637"/>
      <c r="I2641" s="637"/>
      <c r="J2641" s="637"/>
    </row>
    <row r="2642" spans="1:10" x14ac:dyDescent="0.2">
      <c r="A2642" s="626"/>
      <c r="B2642" s="637"/>
      <c r="C2642" s="637"/>
      <c r="D2642" s="637"/>
      <c r="E2642" s="637"/>
      <c r="F2642" s="637"/>
      <c r="G2642" s="637"/>
      <c r="H2642" s="637"/>
      <c r="I2642" s="637"/>
      <c r="J2642" s="637"/>
    </row>
    <row r="2643" spans="1:10" x14ac:dyDescent="0.2">
      <c r="A2643" s="626"/>
      <c r="B2643" s="637"/>
      <c r="C2643" s="637"/>
      <c r="D2643" s="637"/>
      <c r="E2643" s="637"/>
      <c r="F2643" s="637"/>
      <c r="G2643" s="637"/>
      <c r="H2643" s="637"/>
      <c r="I2643" s="637"/>
      <c r="J2643" s="637"/>
    </row>
    <row r="2644" spans="1:10" x14ac:dyDescent="0.2">
      <c r="A2644" s="626"/>
      <c r="B2644" s="637"/>
      <c r="C2644" s="637"/>
      <c r="D2644" s="637"/>
      <c r="E2644" s="637"/>
      <c r="F2644" s="637"/>
      <c r="G2644" s="637"/>
      <c r="H2644" s="637"/>
      <c r="I2644" s="637"/>
      <c r="J2644" s="637"/>
    </row>
    <row r="2645" spans="1:10" x14ac:dyDescent="0.2">
      <c r="A2645" s="626"/>
      <c r="B2645" s="637"/>
      <c r="C2645" s="637"/>
      <c r="D2645" s="637"/>
      <c r="E2645" s="637"/>
      <c r="F2645" s="637"/>
      <c r="G2645" s="637"/>
      <c r="H2645" s="637"/>
      <c r="I2645" s="637"/>
      <c r="J2645" s="637"/>
    </row>
    <row r="2646" spans="1:10" x14ac:dyDescent="0.2">
      <c r="A2646" s="626"/>
      <c r="B2646" s="637"/>
      <c r="C2646" s="637"/>
      <c r="D2646" s="637"/>
      <c r="E2646" s="637"/>
      <c r="F2646" s="637"/>
      <c r="G2646" s="637"/>
      <c r="H2646" s="637"/>
      <c r="I2646" s="637"/>
      <c r="J2646" s="637"/>
    </row>
    <row r="2647" spans="1:10" x14ac:dyDescent="0.2">
      <c r="A2647" s="626"/>
      <c r="B2647" s="637"/>
      <c r="C2647" s="637"/>
      <c r="D2647" s="637"/>
      <c r="E2647" s="637"/>
      <c r="F2647" s="637"/>
      <c r="G2647" s="637"/>
      <c r="H2647" s="637"/>
      <c r="I2647" s="637"/>
      <c r="J2647" s="637"/>
    </row>
    <row r="2648" spans="1:10" x14ac:dyDescent="0.2">
      <c r="A2648" s="626"/>
      <c r="B2648" s="637"/>
      <c r="C2648" s="637"/>
      <c r="D2648" s="637"/>
      <c r="E2648" s="637"/>
      <c r="F2648" s="637"/>
      <c r="G2648" s="637"/>
      <c r="H2648" s="637"/>
      <c r="I2648" s="637"/>
      <c r="J2648" s="637"/>
    </row>
    <row r="2649" spans="1:10" x14ac:dyDescent="0.2">
      <c r="A2649" s="626"/>
      <c r="B2649" s="637"/>
      <c r="C2649" s="637"/>
      <c r="D2649" s="637"/>
      <c r="E2649" s="637"/>
      <c r="F2649" s="637"/>
      <c r="G2649" s="637"/>
      <c r="H2649" s="637"/>
      <c r="I2649" s="637"/>
      <c r="J2649" s="637"/>
    </row>
    <row r="2650" spans="1:10" x14ac:dyDescent="0.2">
      <c r="A2650" s="626"/>
      <c r="B2650" s="637"/>
      <c r="C2650" s="637"/>
      <c r="D2650" s="637"/>
      <c r="E2650" s="637"/>
      <c r="F2650" s="637"/>
      <c r="G2650" s="637"/>
      <c r="H2650" s="637"/>
      <c r="I2650" s="637"/>
      <c r="J2650" s="637"/>
    </row>
    <row r="2651" spans="1:10" x14ac:dyDescent="0.2">
      <c r="A2651" s="626"/>
      <c r="B2651" s="637"/>
      <c r="C2651" s="637"/>
      <c r="D2651" s="637"/>
      <c r="E2651" s="637"/>
      <c r="F2651" s="637"/>
      <c r="G2651" s="637"/>
      <c r="H2651" s="637"/>
      <c r="I2651" s="637"/>
      <c r="J2651" s="637"/>
    </row>
    <row r="2652" spans="1:10" x14ac:dyDescent="0.2">
      <c r="A2652" s="626"/>
      <c r="B2652" s="637"/>
      <c r="C2652" s="637"/>
      <c r="D2652" s="637"/>
      <c r="E2652" s="637"/>
      <c r="F2652" s="637"/>
      <c r="G2652" s="637"/>
      <c r="H2652" s="637"/>
      <c r="I2652" s="637"/>
      <c r="J2652" s="637"/>
    </row>
    <row r="2653" spans="1:10" x14ac:dyDescent="0.2">
      <c r="A2653" s="626"/>
      <c r="B2653" s="637"/>
      <c r="C2653" s="637"/>
      <c r="D2653" s="637"/>
      <c r="E2653" s="637"/>
      <c r="F2653" s="637"/>
      <c r="G2653" s="637"/>
      <c r="H2653" s="637"/>
      <c r="I2653" s="637"/>
      <c r="J2653" s="637"/>
    </row>
    <row r="2654" spans="1:10" x14ac:dyDescent="0.2">
      <c r="A2654" s="626"/>
      <c r="B2654" s="637"/>
      <c r="C2654" s="637"/>
      <c r="D2654" s="637"/>
      <c r="E2654" s="637"/>
      <c r="F2654" s="637"/>
      <c r="G2654" s="637"/>
      <c r="H2654" s="637"/>
      <c r="I2654" s="637"/>
      <c r="J2654" s="637"/>
    </row>
    <row r="2655" spans="1:10" x14ac:dyDescent="0.2">
      <c r="A2655" s="626"/>
      <c r="B2655" s="637"/>
      <c r="C2655" s="637"/>
      <c r="D2655" s="637"/>
      <c r="E2655" s="637"/>
      <c r="F2655" s="637"/>
      <c r="G2655" s="637"/>
      <c r="H2655" s="637"/>
      <c r="I2655" s="637"/>
      <c r="J2655" s="637"/>
    </row>
    <row r="2656" spans="1:10" x14ac:dyDescent="0.2">
      <c r="A2656" s="626"/>
      <c r="B2656" s="637"/>
      <c r="C2656" s="637"/>
      <c r="D2656" s="637"/>
      <c r="E2656" s="637"/>
      <c r="F2656" s="637"/>
      <c r="G2656" s="637"/>
      <c r="H2656" s="637"/>
      <c r="I2656" s="637"/>
      <c r="J2656" s="637"/>
    </row>
    <row r="2657" spans="1:10" x14ac:dyDescent="0.2">
      <c r="A2657" s="626"/>
      <c r="B2657" s="637"/>
      <c r="C2657" s="637"/>
      <c r="D2657" s="637"/>
      <c r="E2657" s="637"/>
      <c r="F2657" s="637"/>
      <c r="G2657" s="637"/>
      <c r="H2657" s="637"/>
      <c r="I2657" s="637"/>
      <c r="J2657" s="637"/>
    </row>
    <row r="2658" spans="1:10" x14ac:dyDescent="0.2">
      <c r="A2658" s="626"/>
      <c r="B2658" s="637"/>
      <c r="C2658" s="637"/>
      <c r="D2658" s="637"/>
      <c r="E2658" s="637"/>
      <c r="F2658" s="637"/>
      <c r="G2658" s="637"/>
      <c r="H2658" s="637"/>
      <c r="I2658" s="637"/>
      <c r="J2658" s="637"/>
    </row>
    <row r="2659" spans="1:10" x14ac:dyDescent="0.2">
      <c r="A2659" s="626"/>
      <c r="B2659" s="637"/>
      <c r="C2659" s="637"/>
      <c r="D2659" s="637"/>
      <c r="E2659" s="637"/>
      <c r="F2659" s="637"/>
      <c r="G2659" s="637"/>
      <c r="H2659" s="637"/>
      <c r="I2659" s="637"/>
      <c r="J2659" s="637"/>
    </row>
    <row r="2660" spans="1:10" x14ac:dyDescent="0.2">
      <c r="A2660" s="626"/>
      <c r="B2660" s="637"/>
      <c r="C2660" s="637"/>
      <c r="D2660" s="637"/>
      <c r="E2660" s="637"/>
      <c r="F2660" s="637"/>
      <c r="G2660" s="637"/>
      <c r="H2660" s="637"/>
      <c r="I2660" s="637"/>
      <c r="J2660" s="637"/>
    </row>
    <row r="2661" spans="1:10" x14ac:dyDescent="0.2">
      <c r="A2661" s="626"/>
      <c r="B2661" s="637"/>
      <c r="C2661" s="637"/>
      <c r="D2661" s="637"/>
      <c r="E2661" s="637"/>
      <c r="F2661" s="637"/>
      <c r="G2661" s="637"/>
      <c r="H2661" s="637"/>
      <c r="I2661" s="637"/>
      <c r="J2661" s="637"/>
    </row>
    <row r="2662" spans="1:10" x14ac:dyDescent="0.2">
      <c r="A2662" s="626"/>
      <c r="B2662" s="637"/>
      <c r="C2662" s="637"/>
      <c r="D2662" s="637"/>
      <c r="E2662" s="637"/>
      <c r="F2662" s="637"/>
      <c r="G2662" s="637"/>
      <c r="H2662" s="637"/>
      <c r="I2662" s="637"/>
      <c r="J2662" s="637"/>
    </row>
    <row r="2663" spans="1:10" x14ac:dyDescent="0.2">
      <c r="A2663" s="626"/>
      <c r="B2663" s="637"/>
      <c r="C2663" s="637"/>
      <c r="D2663" s="637"/>
      <c r="E2663" s="637"/>
      <c r="F2663" s="637"/>
      <c r="G2663" s="637"/>
      <c r="H2663" s="637"/>
      <c r="I2663" s="637"/>
      <c r="J2663" s="637"/>
    </row>
    <row r="2664" spans="1:10" x14ac:dyDescent="0.2">
      <c r="A2664" s="626"/>
      <c r="B2664" s="637"/>
      <c r="C2664" s="637"/>
      <c r="D2664" s="637"/>
      <c r="E2664" s="637"/>
      <c r="F2664" s="637"/>
      <c r="G2664" s="637"/>
      <c r="H2664" s="637"/>
      <c r="I2664" s="637"/>
      <c r="J2664" s="637"/>
    </row>
    <row r="2665" spans="1:10" x14ac:dyDescent="0.2">
      <c r="A2665" s="626"/>
      <c r="B2665" s="637"/>
      <c r="C2665" s="637"/>
      <c r="D2665" s="637"/>
      <c r="E2665" s="637"/>
      <c r="F2665" s="637"/>
      <c r="G2665" s="637"/>
      <c r="H2665" s="637"/>
      <c r="I2665" s="637"/>
      <c r="J2665" s="637"/>
    </row>
    <row r="2666" spans="1:10" x14ac:dyDescent="0.2">
      <c r="A2666" s="626"/>
      <c r="B2666" s="637"/>
      <c r="C2666" s="637"/>
      <c r="D2666" s="637"/>
      <c r="E2666" s="637"/>
      <c r="F2666" s="637"/>
      <c r="G2666" s="637"/>
      <c r="H2666" s="637"/>
      <c r="I2666" s="637"/>
      <c r="J2666" s="637"/>
    </row>
    <row r="2667" spans="1:10" x14ac:dyDescent="0.2">
      <c r="A2667" s="626"/>
      <c r="B2667" s="637"/>
      <c r="C2667" s="637"/>
      <c r="D2667" s="637"/>
      <c r="E2667" s="637"/>
      <c r="F2667" s="637"/>
      <c r="G2667" s="637"/>
      <c r="H2667" s="637"/>
      <c r="I2667" s="637"/>
      <c r="J2667" s="637"/>
    </row>
    <row r="2668" spans="1:10" x14ac:dyDescent="0.2">
      <c r="A2668" s="626"/>
      <c r="B2668" s="637"/>
      <c r="C2668" s="637"/>
      <c r="D2668" s="637"/>
      <c r="E2668" s="637"/>
      <c r="F2668" s="637"/>
      <c r="G2668" s="637"/>
      <c r="H2668" s="637"/>
      <c r="I2668" s="637"/>
      <c r="J2668" s="637"/>
    </row>
    <row r="2669" spans="1:10" x14ac:dyDescent="0.2">
      <c r="A2669" s="626"/>
      <c r="B2669" s="637"/>
      <c r="C2669" s="637"/>
      <c r="D2669" s="637"/>
      <c r="E2669" s="637"/>
      <c r="F2669" s="637"/>
      <c r="G2669" s="637"/>
      <c r="H2669" s="637"/>
      <c r="I2669" s="637"/>
      <c r="J2669" s="637"/>
    </row>
    <row r="2670" spans="1:10" x14ac:dyDescent="0.2">
      <c r="A2670" s="626"/>
      <c r="B2670" s="637"/>
      <c r="C2670" s="637"/>
      <c r="D2670" s="637"/>
      <c r="E2670" s="637"/>
      <c r="F2670" s="637"/>
      <c r="G2670" s="637"/>
      <c r="H2670" s="637"/>
      <c r="I2670" s="637"/>
      <c r="J2670" s="637"/>
    </row>
    <row r="2671" spans="1:10" x14ac:dyDescent="0.2">
      <c r="A2671" s="626"/>
      <c r="B2671" s="637"/>
      <c r="C2671" s="637"/>
      <c r="D2671" s="637"/>
      <c r="E2671" s="637"/>
      <c r="F2671" s="637"/>
      <c r="G2671" s="637"/>
      <c r="H2671" s="637"/>
      <c r="I2671" s="637"/>
      <c r="J2671" s="637"/>
    </row>
    <row r="2672" spans="1:10" x14ac:dyDescent="0.2">
      <c r="A2672" s="626"/>
      <c r="B2672" s="637"/>
      <c r="C2672" s="637"/>
      <c r="D2672" s="637"/>
      <c r="E2672" s="637"/>
      <c r="F2672" s="637"/>
      <c r="G2672" s="637"/>
      <c r="H2672" s="637"/>
      <c r="I2672" s="637"/>
      <c r="J2672" s="637"/>
    </row>
    <row r="2673" spans="1:10" x14ac:dyDescent="0.2">
      <c r="A2673" s="626"/>
      <c r="B2673" s="637"/>
      <c r="C2673" s="637"/>
      <c r="D2673" s="637"/>
      <c r="E2673" s="637"/>
      <c r="F2673" s="637"/>
      <c r="G2673" s="637"/>
      <c r="H2673" s="637"/>
      <c r="I2673" s="637"/>
      <c r="J2673" s="637"/>
    </row>
    <row r="2674" spans="1:10" x14ac:dyDescent="0.2">
      <c r="A2674" s="626"/>
      <c r="B2674" s="637"/>
      <c r="C2674" s="637"/>
      <c r="D2674" s="637"/>
      <c r="E2674" s="637"/>
      <c r="F2674" s="637"/>
      <c r="G2674" s="637"/>
      <c r="H2674" s="637"/>
      <c r="I2674" s="637"/>
      <c r="J2674" s="637"/>
    </row>
    <row r="2675" spans="1:10" x14ac:dyDescent="0.2">
      <c r="A2675" s="626"/>
      <c r="B2675" s="637"/>
      <c r="C2675" s="637"/>
      <c r="D2675" s="637"/>
      <c r="E2675" s="637"/>
      <c r="F2675" s="637"/>
      <c r="G2675" s="637"/>
      <c r="H2675" s="637"/>
      <c r="I2675" s="637"/>
      <c r="J2675" s="637"/>
    </row>
    <row r="2676" spans="1:10" x14ac:dyDescent="0.2">
      <c r="A2676" s="626"/>
      <c r="B2676" s="637"/>
      <c r="C2676" s="637"/>
      <c r="D2676" s="637"/>
      <c r="E2676" s="637"/>
      <c r="F2676" s="637"/>
      <c r="G2676" s="637"/>
      <c r="H2676" s="637"/>
      <c r="I2676" s="637"/>
      <c r="J2676" s="637"/>
    </row>
    <row r="2677" spans="1:10" x14ac:dyDescent="0.2">
      <c r="A2677" s="626"/>
      <c r="B2677" s="637"/>
      <c r="C2677" s="637"/>
      <c r="D2677" s="637"/>
      <c r="E2677" s="637"/>
      <c r="F2677" s="637"/>
      <c r="G2677" s="637"/>
      <c r="H2677" s="637"/>
      <c r="I2677" s="637"/>
      <c r="J2677" s="637"/>
    </row>
    <row r="2678" spans="1:10" x14ac:dyDescent="0.2">
      <c r="A2678" s="626"/>
      <c r="B2678" s="637"/>
      <c r="C2678" s="637"/>
      <c r="D2678" s="637"/>
      <c r="E2678" s="637"/>
      <c r="F2678" s="637"/>
      <c r="G2678" s="637"/>
      <c r="H2678" s="637"/>
      <c r="I2678" s="637"/>
      <c r="J2678" s="637"/>
    </row>
    <row r="2679" spans="1:10" x14ac:dyDescent="0.2">
      <c r="A2679" s="626"/>
      <c r="B2679" s="637"/>
      <c r="C2679" s="637"/>
      <c r="D2679" s="637"/>
      <c r="E2679" s="637"/>
      <c r="F2679" s="637"/>
      <c r="G2679" s="637"/>
      <c r="H2679" s="637"/>
      <c r="I2679" s="637"/>
      <c r="J2679" s="637"/>
    </row>
    <row r="2680" spans="1:10" x14ac:dyDescent="0.2">
      <c r="A2680" s="626"/>
      <c r="B2680" s="637"/>
      <c r="C2680" s="637"/>
      <c r="D2680" s="637"/>
      <c r="E2680" s="637"/>
      <c r="F2680" s="637"/>
      <c r="G2680" s="637"/>
      <c r="H2680" s="637"/>
      <c r="I2680" s="637"/>
      <c r="J2680" s="637"/>
    </row>
    <row r="2681" spans="1:10" x14ac:dyDescent="0.2">
      <c r="A2681" s="626"/>
      <c r="B2681" s="637"/>
      <c r="C2681" s="637"/>
      <c r="D2681" s="637"/>
      <c r="E2681" s="637"/>
      <c r="F2681" s="637"/>
      <c r="G2681" s="637"/>
      <c r="H2681" s="637"/>
      <c r="I2681" s="637"/>
      <c r="J2681" s="637"/>
    </row>
    <row r="2682" spans="1:10" x14ac:dyDescent="0.2">
      <c r="A2682" s="626"/>
      <c r="B2682" s="637"/>
      <c r="C2682" s="637"/>
      <c r="D2682" s="637"/>
      <c r="E2682" s="637"/>
      <c r="F2682" s="637"/>
      <c r="G2682" s="637"/>
      <c r="H2682" s="637"/>
      <c r="I2682" s="637"/>
      <c r="J2682" s="637"/>
    </row>
    <row r="2683" spans="1:10" x14ac:dyDescent="0.2">
      <c r="A2683" s="626"/>
      <c r="B2683" s="637"/>
      <c r="C2683" s="637"/>
      <c r="D2683" s="637"/>
      <c r="E2683" s="637"/>
      <c r="F2683" s="637"/>
      <c r="G2683" s="637"/>
      <c r="H2683" s="637"/>
      <c r="I2683" s="637"/>
      <c r="J2683" s="637"/>
    </row>
    <row r="2684" spans="1:10" x14ac:dyDescent="0.2">
      <c r="A2684" s="626"/>
      <c r="B2684" s="637"/>
      <c r="C2684" s="637"/>
      <c r="D2684" s="637"/>
      <c r="E2684" s="637"/>
      <c r="F2684" s="637"/>
      <c r="G2684" s="637"/>
      <c r="H2684" s="637"/>
      <c r="I2684" s="637"/>
      <c r="J2684" s="637"/>
    </row>
    <row r="2685" spans="1:10" x14ac:dyDescent="0.2">
      <c r="A2685" s="626"/>
      <c r="B2685" s="637"/>
      <c r="C2685" s="637"/>
      <c r="D2685" s="637"/>
      <c r="E2685" s="637"/>
      <c r="F2685" s="637"/>
      <c r="G2685" s="637"/>
      <c r="H2685" s="637"/>
      <c r="I2685" s="637"/>
      <c r="J2685" s="637"/>
    </row>
    <row r="2686" spans="1:10" x14ac:dyDescent="0.2">
      <c r="A2686" s="626"/>
      <c r="B2686" s="637"/>
      <c r="C2686" s="637"/>
      <c r="D2686" s="637"/>
      <c r="E2686" s="637"/>
      <c r="F2686" s="637"/>
      <c r="G2686" s="637"/>
      <c r="H2686" s="637"/>
      <c r="I2686" s="637"/>
      <c r="J2686" s="637"/>
    </row>
    <row r="2687" spans="1:10" x14ac:dyDescent="0.2">
      <c r="A2687" s="626"/>
      <c r="B2687" s="637"/>
      <c r="C2687" s="637"/>
      <c r="D2687" s="637"/>
      <c r="E2687" s="637"/>
      <c r="F2687" s="637"/>
      <c r="G2687" s="637"/>
      <c r="H2687" s="637"/>
      <c r="I2687" s="637"/>
      <c r="J2687" s="637"/>
    </row>
    <row r="2688" spans="1:10" x14ac:dyDescent="0.2">
      <c r="A2688" s="626"/>
      <c r="B2688" s="637"/>
      <c r="C2688" s="637"/>
      <c r="D2688" s="637"/>
      <c r="E2688" s="637"/>
      <c r="F2688" s="637"/>
      <c r="G2688" s="637"/>
      <c r="H2688" s="637"/>
      <c r="I2688" s="637"/>
      <c r="J2688" s="637"/>
    </row>
    <row r="2689" spans="1:10" x14ac:dyDescent="0.2">
      <c r="A2689" s="626"/>
      <c r="B2689" s="637"/>
      <c r="C2689" s="637"/>
      <c r="D2689" s="637"/>
      <c r="E2689" s="637"/>
      <c r="F2689" s="637"/>
      <c r="G2689" s="637"/>
      <c r="H2689" s="637"/>
      <c r="I2689" s="637"/>
      <c r="J2689" s="637"/>
    </row>
    <row r="2690" spans="1:10" x14ac:dyDescent="0.2">
      <c r="A2690" s="626"/>
      <c r="B2690" s="637"/>
      <c r="C2690" s="637"/>
      <c r="D2690" s="637"/>
      <c r="E2690" s="637"/>
      <c r="F2690" s="637"/>
      <c r="G2690" s="637"/>
      <c r="H2690" s="637"/>
      <c r="I2690" s="637"/>
      <c r="J2690" s="637"/>
    </row>
    <row r="2691" spans="1:10" x14ac:dyDescent="0.2">
      <c r="A2691" s="626"/>
      <c r="B2691" s="637"/>
      <c r="C2691" s="637"/>
      <c r="D2691" s="637"/>
      <c r="E2691" s="637"/>
      <c r="F2691" s="637"/>
      <c r="G2691" s="637"/>
      <c r="H2691" s="637"/>
      <c r="I2691" s="637"/>
      <c r="J2691" s="637"/>
    </row>
    <row r="2692" spans="1:10" x14ac:dyDescent="0.2">
      <c r="A2692" s="626"/>
      <c r="B2692" s="637"/>
      <c r="C2692" s="637"/>
      <c r="D2692" s="637"/>
      <c r="E2692" s="637"/>
      <c r="F2692" s="637"/>
      <c r="G2692" s="637"/>
      <c r="H2692" s="637"/>
      <c r="I2692" s="637"/>
      <c r="J2692" s="637"/>
    </row>
    <row r="2693" spans="1:10" x14ac:dyDescent="0.2">
      <c r="A2693" s="626"/>
      <c r="B2693" s="637"/>
      <c r="C2693" s="637"/>
      <c r="D2693" s="637"/>
      <c r="E2693" s="637"/>
      <c r="F2693" s="637"/>
      <c r="G2693" s="637"/>
      <c r="H2693" s="637"/>
      <c r="I2693" s="637"/>
      <c r="J2693" s="637"/>
    </row>
    <row r="2694" spans="1:10" x14ac:dyDescent="0.2">
      <c r="A2694" s="626"/>
      <c r="B2694" s="637"/>
      <c r="C2694" s="637"/>
      <c r="D2694" s="637"/>
      <c r="E2694" s="637"/>
      <c r="F2694" s="637"/>
      <c r="G2694" s="637"/>
      <c r="H2694" s="637"/>
      <c r="I2694" s="637"/>
      <c r="J2694" s="637"/>
    </row>
    <row r="2695" spans="1:10" x14ac:dyDescent="0.2">
      <c r="A2695" s="626"/>
      <c r="B2695" s="637"/>
      <c r="C2695" s="637"/>
      <c r="D2695" s="637"/>
      <c r="E2695" s="637"/>
      <c r="F2695" s="637"/>
      <c r="G2695" s="637"/>
      <c r="H2695" s="637"/>
      <c r="I2695" s="637"/>
      <c r="J2695" s="637"/>
    </row>
    <row r="2696" spans="1:10" x14ac:dyDescent="0.2">
      <c r="A2696" s="626"/>
      <c r="B2696" s="637"/>
      <c r="C2696" s="637"/>
      <c r="D2696" s="637"/>
      <c r="E2696" s="637"/>
      <c r="F2696" s="637"/>
      <c r="G2696" s="637"/>
      <c r="H2696" s="637"/>
      <c r="I2696" s="637"/>
      <c r="J2696" s="637"/>
    </row>
    <row r="2697" spans="1:10" x14ac:dyDescent="0.2">
      <c r="A2697" s="626"/>
      <c r="B2697" s="637"/>
      <c r="C2697" s="637"/>
      <c r="D2697" s="637"/>
      <c r="E2697" s="637"/>
      <c r="F2697" s="637"/>
      <c r="G2697" s="637"/>
      <c r="H2697" s="637"/>
      <c r="I2697" s="637"/>
      <c r="J2697" s="637"/>
    </row>
    <row r="2698" spans="1:10" x14ac:dyDescent="0.2">
      <c r="A2698" s="626"/>
      <c r="B2698" s="637"/>
      <c r="C2698" s="637"/>
      <c r="D2698" s="637"/>
      <c r="E2698" s="637"/>
      <c r="F2698" s="637"/>
      <c r="G2698" s="637"/>
      <c r="H2698" s="637"/>
      <c r="I2698" s="637"/>
      <c r="J2698" s="637"/>
    </row>
    <row r="2699" spans="1:10" x14ac:dyDescent="0.2">
      <c r="A2699" s="626"/>
      <c r="B2699" s="637"/>
      <c r="C2699" s="637"/>
      <c r="D2699" s="637"/>
      <c r="E2699" s="637"/>
      <c r="F2699" s="637"/>
      <c r="G2699" s="637"/>
      <c r="H2699" s="637"/>
      <c r="I2699" s="637"/>
      <c r="J2699" s="637"/>
    </row>
    <row r="2700" spans="1:10" x14ac:dyDescent="0.2">
      <c r="A2700" s="626"/>
      <c r="B2700" s="637"/>
      <c r="C2700" s="637"/>
      <c r="D2700" s="637"/>
      <c r="E2700" s="637"/>
      <c r="F2700" s="637"/>
      <c r="G2700" s="637"/>
      <c r="H2700" s="637"/>
      <c r="I2700" s="637"/>
      <c r="J2700" s="637"/>
    </row>
    <row r="2701" spans="1:10" x14ac:dyDescent="0.2">
      <c r="A2701" s="626"/>
      <c r="B2701" s="637"/>
      <c r="C2701" s="637"/>
      <c r="D2701" s="637"/>
      <c r="E2701" s="637"/>
      <c r="F2701" s="637"/>
      <c r="G2701" s="637"/>
      <c r="H2701" s="637"/>
      <c r="I2701" s="637"/>
      <c r="J2701" s="637"/>
    </row>
    <row r="2702" spans="1:10" x14ac:dyDescent="0.2">
      <c r="A2702" s="626"/>
      <c r="B2702" s="637"/>
      <c r="C2702" s="637"/>
      <c r="D2702" s="637"/>
      <c r="E2702" s="637"/>
      <c r="F2702" s="637"/>
      <c r="G2702" s="637"/>
      <c r="H2702" s="637"/>
      <c r="I2702" s="637"/>
      <c r="J2702" s="637"/>
    </row>
    <row r="2703" spans="1:10" x14ac:dyDescent="0.2">
      <c r="A2703" s="626"/>
      <c r="B2703" s="637"/>
      <c r="C2703" s="637"/>
      <c r="D2703" s="637"/>
      <c r="E2703" s="637"/>
      <c r="F2703" s="637"/>
      <c r="G2703" s="637"/>
      <c r="H2703" s="637"/>
      <c r="I2703" s="637"/>
      <c r="J2703" s="637"/>
    </row>
    <row r="2704" spans="1:10" x14ac:dyDescent="0.2">
      <c r="A2704" s="626"/>
      <c r="B2704" s="637"/>
      <c r="C2704" s="637"/>
      <c r="D2704" s="637"/>
      <c r="E2704" s="637"/>
      <c r="F2704" s="637"/>
      <c r="G2704" s="637"/>
      <c r="H2704" s="637"/>
      <c r="I2704" s="637"/>
      <c r="J2704" s="637"/>
    </row>
    <row r="2705" spans="1:10" x14ac:dyDescent="0.2">
      <c r="A2705" s="626"/>
      <c r="B2705" s="637"/>
      <c r="C2705" s="637"/>
      <c r="D2705" s="637"/>
      <c r="E2705" s="637"/>
      <c r="F2705" s="637"/>
      <c r="G2705" s="637"/>
      <c r="H2705" s="637"/>
      <c r="I2705" s="637"/>
      <c r="J2705" s="637"/>
    </row>
    <row r="2706" spans="1:10" x14ac:dyDescent="0.2">
      <c r="A2706" s="626"/>
      <c r="B2706" s="637"/>
      <c r="C2706" s="637"/>
      <c r="D2706" s="637"/>
      <c r="E2706" s="637"/>
      <c r="F2706" s="637"/>
      <c r="G2706" s="637"/>
      <c r="H2706" s="637"/>
      <c r="I2706" s="637"/>
      <c r="J2706" s="637"/>
    </row>
    <row r="2707" spans="1:10" x14ac:dyDescent="0.2">
      <c r="A2707" s="626"/>
      <c r="B2707" s="637"/>
      <c r="C2707" s="637"/>
      <c r="D2707" s="637"/>
      <c r="E2707" s="637"/>
      <c r="F2707" s="637"/>
      <c r="G2707" s="637"/>
      <c r="H2707" s="637"/>
      <c r="I2707" s="637"/>
      <c r="J2707" s="637"/>
    </row>
    <row r="2708" spans="1:10" x14ac:dyDescent="0.2">
      <c r="A2708" s="626"/>
      <c r="B2708" s="637"/>
      <c r="C2708" s="637"/>
      <c r="D2708" s="637"/>
      <c r="E2708" s="637"/>
      <c r="F2708" s="637"/>
      <c r="G2708" s="637"/>
      <c r="H2708" s="637"/>
      <c r="I2708" s="637"/>
      <c r="J2708" s="637"/>
    </row>
    <row r="2709" spans="1:10" x14ac:dyDescent="0.2">
      <c r="A2709" s="626"/>
      <c r="B2709" s="637"/>
      <c r="C2709" s="637"/>
      <c r="D2709" s="637"/>
      <c r="E2709" s="637"/>
      <c r="F2709" s="637"/>
      <c r="G2709" s="637"/>
      <c r="H2709" s="637"/>
      <c r="I2709" s="637"/>
      <c r="J2709" s="637"/>
    </row>
    <row r="2710" spans="1:10" x14ac:dyDescent="0.2">
      <c r="A2710" s="626"/>
      <c r="B2710" s="637"/>
      <c r="C2710" s="637"/>
      <c r="D2710" s="637"/>
      <c r="E2710" s="637"/>
      <c r="F2710" s="637"/>
      <c r="G2710" s="637"/>
      <c r="H2710" s="637"/>
      <c r="I2710" s="637"/>
      <c r="J2710" s="637"/>
    </row>
    <row r="2711" spans="1:10" x14ac:dyDescent="0.2">
      <c r="A2711" s="626"/>
      <c r="B2711" s="637"/>
      <c r="C2711" s="637"/>
      <c r="D2711" s="637"/>
      <c r="E2711" s="637"/>
      <c r="F2711" s="637"/>
      <c r="G2711" s="637"/>
      <c r="H2711" s="637"/>
      <c r="I2711" s="637"/>
      <c r="J2711" s="637"/>
    </row>
    <row r="2712" spans="1:10" x14ac:dyDescent="0.2">
      <c r="A2712" s="626"/>
      <c r="B2712" s="637"/>
      <c r="C2712" s="637"/>
      <c r="D2712" s="637"/>
      <c r="E2712" s="637"/>
      <c r="F2712" s="637"/>
      <c r="G2712" s="637"/>
      <c r="H2712" s="637"/>
      <c r="I2712" s="637"/>
      <c r="J2712" s="637"/>
    </row>
    <row r="2713" spans="1:10" x14ac:dyDescent="0.2">
      <c r="A2713" s="626"/>
      <c r="B2713" s="637"/>
      <c r="C2713" s="637"/>
      <c r="D2713" s="637"/>
      <c r="E2713" s="637"/>
      <c r="F2713" s="637"/>
      <c r="G2713" s="637"/>
      <c r="H2713" s="637"/>
      <c r="I2713" s="637"/>
      <c r="J2713" s="637"/>
    </row>
    <row r="2714" spans="1:10" x14ac:dyDescent="0.2">
      <c r="A2714" s="626"/>
      <c r="B2714" s="637"/>
      <c r="C2714" s="637"/>
      <c r="D2714" s="637"/>
      <c r="E2714" s="637"/>
      <c r="F2714" s="637"/>
      <c r="G2714" s="637"/>
      <c r="H2714" s="637"/>
      <c r="I2714" s="637"/>
      <c r="J2714" s="637"/>
    </row>
    <row r="2715" spans="1:10" x14ac:dyDescent="0.2">
      <c r="A2715" s="626"/>
      <c r="B2715" s="637"/>
      <c r="C2715" s="637"/>
      <c r="D2715" s="637"/>
      <c r="E2715" s="637"/>
      <c r="F2715" s="637"/>
      <c r="G2715" s="637"/>
      <c r="H2715" s="637"/>
      <c r="I2715" s="637"/>
      <c r="J2715" s="637"/>
    </row>
    <row r="2716" spans="1:10" x14ac:dyDescent="0.2">
      <c r="A2716" s="626"/>
      <c r="B2716" s="637"/>
      <c r="C2716" s="637"/>
      <c r="D2716" s="637"/>
      <c r="E2716" s="637"/>
      <c r="F2716" s="637"/>
      <c r="G2716" s="637"/>
      <c r="H2716" s="637"/>
      <c r="I2716" s="637"/>
      <c r="J2716" s="637"/>
    </row>
    <row r="2717" spans="1:10" x14ac:dyDescent="0.2">
      <c r="A2717" s="626"/>
      <c r="B2717" s="637"/>
      <c r="C2717" s="637"/>
      <c r="D2717" s="637"/>
      <c r="E2717" s="637"/>
      <c r="F2717" s="637"/>
      <c r="G2717" s="637"/>
      <c r="H2717" s="637"/>
      <c r="I2717" s="637"/>
      <c r="J2717" s="637"/>
    </row>
    <row r="2718" spans="1:10" x14ac:dyDescent="0.2">
      <c r="A2718" s="626"/>
      <c r="B2718" s="637"/>
      <c r="C2718" s="637"/>
      <c r="D2718" s="637"/>
      <c r="E2718" s="637"/>
      <c r="F2718" s="637"/>
      <c r="G2718" s="637"/>
      <c r="H2718" s="637"/>
      <c r="I2718" s="637"/>
      <c r="J2718" s="637"/>
    </row>
    <row r="2719" spans="1:10" x14ac:dyDescent="0.2">
      <c r="A2719" s="626"/>
      <c r="B2719" s="637"/>
      <c r="C2719" s="637"/>
      <c r="D2719" s="637"/>
      <c r="E2719" s="637"/>
      <c r="F2719" s="637"/>
      <c r="G2719" s="637"/>
      <c r="H2719" s="637"/>
      <c r="I2719" s="637"/>
      <c r="J2719" s="637"/>
    </row>
    <row r="2720" spans="1:10" x14ac:dyDescent="0.2">
      <c r="A2720" s="626"/>
      <c r="B2720" s="637"/>
      <c r="C2720" s="637"/>
      <c r="D2720" s="637"/>
      <c r="E2720" s="637"/>
      <c r="F2720" s="637"/>
      <c r="G2720" s="637"/>
      <c r="H2720" s="637"/>
      <c r="I2720" s="637"/>
      <c r="J2720" s="637"/>
    </row>
    <row r="2721" spans="1:10" x14ac:dyDescent="0.2">
      <c r="A2721" s="626"/>
      <c r="B2721" s="637"/>
      <c r="C2721" s="637"/>
      <c r="D2721" s="637"/>
      <c r="E2721" s="637"/>
      <c r="F2721" s="637"/>
      <c r="G2721" s="637"/>
      <c r="H2721" s="637"/>
      <c r="I2721" s="637"/>
      <c r="J2721" s="637"/>
    </row>
    <row r="2722" spans="1:10" x14ac:dyDescent="0.2">
      <c r="A2722" s="626"/>
      <c r="B2722" s="637"/>
      <c r="C2722" s="637"/>
      <c r="D2722" s="637"/>
      <c r="E2722" s="637"/>
      <c r="F2722" s="637"/>
      <c r="G2722" s="637"/>
      <c r="H2722" s="637"/>
      <c r="I2722" s="637"/>
      <c r="J2722" s="637"/>
    </row>
    <row r="2723" spans="1:10" x14ac:dyDescent="0.2">
      <c r="A2723" s="626"/>
      <c r="B2723" s="637"/>
      <c r="C2723" s="637"/>
      <c r="D2723" s="637"/>
      <c r="E2723" s="637"/>
      <c r="F2723" s="637"/>
      <c r="G2723" s="637"/>
      <c r="H2723" s="637"/>
      <c r="I2723" s="637"/>
      <c r="J2723" s="637"/>
    </row>
    <row r="2724" spans="1:10" x14ac:dyDescent="0.2">
      <c r="A2724" s="626"/>
      <c r="B2724" s="637"/>
      <c r="C2724" s="637"/>
      <c r="D2724" s="637"/>
      <c r="E2724" s="637"/>
      <c r="F2724" s="637"/>
      <c r="G2724" s="637"/>
      <c r="H2724" s="637"/>
      <c r="I2724" s="637"/>
      <c r="J2724" s="637"/>
    </row>
    <row r="2725" spans="1:10" x14ac:dyDescent="0.2">
      <c r="A2725" s="626"/>
      <c r="B2725" s="637"/>
      <c r="C2725" s="637"/>
      <c r="D2725" s="637"/>
      <c r="E2725" s="637"/>
      <c r="F2725" s="637"/>
      <c r="G2725" s="637"/>
      <c r="H2725" s="637"/>
      <c r="I2725" s="637"/>
      <c r="J2725" s="637"/>
    </row>
    <row r="2726" spans="1:10" x14ac:dyDescent="0.2">
      <c r="A2726" s="626"/>
      <c r="B2726" s="637"/>
      <c r="C2726" s="637"/>
      <c r="D2726" s="637"/>
      <c r="E2726" s="637"/>
      <c r="F2726" s="637"/>
      <c r="G2726" s="637"/>
      <c r="H2726" s="637"/>
      <c r="I2726" s="637"/>
      <c r="J2726" s="637"/>
    </row>
    <row r="2727" spans="1:10" x14ac:dyDescent="0.2">
      <c r="A2727" s="626"/>
      <c r="B2727" s="637"/>
      <c r="C2727" s="637"/>
      <c r="D2727" s="637"/>
      <c r="E2727" s="637"/>
      <c r="F2727" s="637"/>
      <c r="G2727" s="637"/>
      <c r="H2727" s="637"/>
      <c r="I2727" s="637"/>
      <c r="J2727" s="637"/>
    </row>
    <row r="2728" spans="1:10" x14ac:dyDescent="0.2">
      <c r="A2728" s="626"/>
      <c r="B2728" s="637"/>
      <c r="C2728" s="637"/>
      <c r="D2728" s="637"/>
      <c r="E2728" s="637"/>
      <c r="F2728" s="637"/>
      <c r="G2728" s="637"/>
      <c r="H2728" s="637"/>
      <c r="I2728" s="637"/>
      <c r="J2728" s="637"/>
    </row>
    <row r="2729" spans="1:10" x14ac:dyDescent="0.2">
      <c r="A2729" s="626"/>
      <c r="B2729" s="637"/>
      <c r="C2729" s="637"/>
      <c r="D2729" s="637"/>
      <c r="E2729" s="637"/>
      <c r="F2729" s="637"/>
      <c r="G2729" s="637"/>
      <c r="H2729" s="637"/>
      <c r="I2729" s="637"/>
      <c r="J2729" s="637"/>
    </row>
    <row r="2730" spans="1:10" x14ac:dyDescent="0.2">
      <c r="A2730" s="626"/>
      <c r="B2730" s="637"/>
      <c r="C2730" s="637"/>
      <c r="D2730" s="637"/>
      <c r="E2730" s="637"/>
      <c r="F2730" s="637"/>
      <c r="G2730" s="637"/>
      <c r="H2730" s="637"/>
      <c r="I2730" s="637"/>
      <c r="J2730" s="637"/>
    </row>
    <row r="2731" spans="1:10" x14ac:dyDescent="0.2">
      <c r="A2731" s="626"/>
      <c r="B2731" s="637"/>
      <c r="C2731" s="637"/>
      <c r="D2731" s="637"/>
      <c r="E2731" s="637"/>
      <c r="F2731" s="637"/>
      <c r="G2731" s="637"/>
      <c r="H2731" s="637"/>
      <c r="I2731" s="637"/>
      <c r="J2731" s="637"/>
    </row>
    <row r="2732" spans="1:10" x14ac:dyDescent="0.2">
      <c r="A2732" s="626"/>
      <c r="B2732" s="637"/>
      <c r="C2732" s="637"/>
      <c r="D2732" s="637"/>
      <c r="E2732" s="637"/>
      <c r="F2732" s="637"/>
      <c r="G2732" s="637"/>
      <c r="H2732" s="637"/>
      <c r="I2732" s="637"/>
      <c r="J2732" s="637"/>
    </row>
    <row r="2733" spans="1:10" x14ac:dyDescent="0.2">
      <c r="A2733" s="626"/>
      <c r="B2733" s="637"/>
      <c r="C2733" s="637"/>
      <c r="D2733" s="637"/>
      <c r="E2733" s="637"/>
      <c r="F2733" s="637"/>
      <c r="G2733" s="637"/>
      <c r="H2733" s="637"/>
      <c r="I2733" s="637"/>
      <c r="J2733" s="637"/>
    </row>
    <row r="2734" spans="1:10" x14ac:dyDescent="0.2">
      <c r="A2734" s="626"/>
      <c r="B2734" s="637"/>
      <c r="C2734" s="637"/>
      <c r="D2734" s="637"/>
      <c r="E2734" s="637"/>
      <c r="F2734" s="637"/>
      <c r="G2734" s="637"/>
      <c r="H2734" s="637"/>
      <c r="I2734" s="637"/>
      <c r="J2734" s="637"/>
    </row>
    <row r="2735" spans="1:10" x14ac:dyDescent="0.2">
      <c r="A2735" s="626"/>
      <c r="B2735" s="637"/>
      <c r="C2735" s="637"/>
      <c r="D2735" s="637"/>
      <c r="E2735" s="637"/>
      <c r="F2735" s="637"/>
      <c r="G2735" s="637"/>
      <c r="H2735" s="637"/>
      <c r="I2735" s="637"/>
      <c r="J2735" s="637"/>
    </row>
    <row r="2736" spans="1:10" x14ac:dyDescent="0.2">
      <c r="A2736" s="626"/>
      <c r="B2736" s="637"/>
      <c r="C2736" s="637"/>
      <c r="D2736" s="637"/>
      <c r="E2736" s="637"/>
      <c r="F2736" s="637"/>
      <c r="G2736" s="637"/>
      <c r="H2736" s="637"/>
      <c r="I2736" s="637"/>
      <c r="J2736" s="637"/>
    </row>
    <row r="2737" spans="1:10" x14ac:dyDescent="0.2">
      <c r="A2737" s="626"/>
      <c r="B2737" s="637"/>
      <c r="C2737" s="637"/>
      <c r="D2737" s="637"/>
      <c r="E2737" s="637"/>
      <c r="F2737" s="637"/>
      <c r="G2737" s="637"/>
      <c r="H2737" s="637"/>
      <c r="I2737" s="637"/>
      <c r="J2737" s="637"/>
    </row>
    <row r="2738" spans="1:10" x14ac:dyDescent="0.2">
      <c r="A2738" s="626"/>
      <c r="B2738" s="637"/>
      <c r="C2738" s="637"/>
      <c r="D2738" s="637"/>
      <c r="E2738" s="637"/>
      <c r="F2738" s="637"/>
      <c r="G2738" s="637"/>
      <c r="H2738" s="637"/>
      <c r="I2738" s="637"/>
      <c r="J2738" s="637"/>
    </row>
    <row r="2739" spans="1:10" x14ac:dyDescent="0.2">
      <c r="A2739" s="626"/>
      <c r="B2739" s="637"/>
      <c r="C2739" s="637"/>
      <c r="D2739" s="637"/>
      <c r="E2739" s="637"/>
      <c r="F2739" s="637"/>
      <c r="G2739" s="637"/>
      <c r="H2739" s="637"/>
      <c r="I2739" s="637"/>
      <c r="J2739" s="637"/>
    </row>
    <row r="2740" spans="1:10" x14ac:dyDescent="0.2">
      <c r="A2740" s="626"/>
      <c r="B2740" s="637"/>
      <c r="C2740" s="637"/>
      <c r="D2740" s="637"/>
      <c r="E2740" s="637"/>
      <c r="F2740" s="637"/>
      <c r="G2740" s="637"/>
      <c r="H2740" s="637"/>
      <c r="I2740" s="637"/>
      <c r="J2740" s="637"/>
    </row>
    <row r="2741" spans="1:10" x14ac:dyDescent="0.2">
      <c r="A2741" s="626"/>
      <c r="B2741" s="637"/>
      <c r="C2741" s="637"/>
      <c r="D2741" s="637"/>
      <c r="E2741" s="637"/>
      <c r="F2741" s="637"/>
      <c r="G2741" s="637"/>
      <c r="H2741" s="637"/>
      <c r="I2741" s="637"/>
      <c r="J2741" s="637"/>
    </row>
    <row r="2742" spans="1:10" x14ac:dyDescent="0.2">
      <c r="A2742" s="626"/>
      <c r="B2742" s="637"/>
      <c r="C2742" s="637"/>
      <c r="D2742" s="637"/>
      <c r="E2742" s="637"/>
      <c r="F2742" s="637"/>
      <c r="G2742" s="637"/>
      <c r="H2742" s="637"/>
      <c r="I2742" s="637"/>
      <c r="J2742" s="637"/>
    </row>
    <row r="2743" spans="1:10" x14ac:dyDescent="0.2">
      <c r="A2743" s="626"/>
      <c r="B2743" s="637"/>
      <c r="C2743" s="637"/>
      <c r="D2743" s="637"/>
      <c r="E2743" s="637"/>
      <c r="F2743" s="637"/>
      <c r="G2743" s="637"/>
      <c r="H2743" s="637"/>
      <c r="I2743" s="637"/>
      <c r="J2743" s="637"/>
    </row>
    <row r="2744" spans="1:10" x14ac:dyDescent="0.2">
      <c r="A2744" s="626"/>
      <c r="B2744" s="637"/>
      <c r="C2744" s="637"/>
      <c r="D2744" s="637"/>
      <c r="E2744" s="637"/>
      <c r="F2744" s="637"/>
      <c r="G2744" s="637"/>
      <c r="H2744" s="637"/>
      <c r="I2744" s="637"/>
      <c r="J2744" s="637"/>
    </row>
    <row r="2745" spans="1:10" x14ac:dyDescent="0.2">
      <c r="A2745" s="626"/>
      <c r="B2745" s="637"/>
      <c r="C2745" s="637"/>
      <c r="D2745" s="637"/>
      <c r="E2745" s="637"/>
      <c r="F2745" s="637"/>
      <c r="G2745" s="637"/>
      <c r="H2745" s="637"/>
      <c r="I2745" s="637"/>
      <c r="J2745" s="637"/>
    </row>
    <row r="2746" spans="1:10" x14ac:dyDescent="0.2">
      <c r="A2746" s="626"/>
      <c r="B2746" s="637"/>
      <c r="C2746" s="637"/>
      <c r="D2746" s="637"/>
      <c r="E2746" s="637"/>
      <c r="F2746" s="637"/>
      <c r="G2746" s="637"/>
      <c r="H2746" s="637"/>
      <c r="I2746" s="637"/>
      <c r="J2746" s="637"/>
    </row>
    <row r="2747" spans="1:10" x14ac:dyDescent="0.2">
      <c r="A2747" s="626"/>
      <c r="B2747" s="637"/>
      <c r="C2747" s="637"/>
      <c r="D2747" s="637"/>
      <c r="E2747" s="637"/>
      <c r="F2747" s="637"/>
      <c r="G2747" s="637"/>
      <c r="H2747" s="637"/>
      <c r="I2747" s="637"/>
      <c r="J2747" s="637"/>
    </row>
    <row r="2748" spans="1:10" x14ac:dyDescent="0.2">
      <c r="A2748" s="626"/>
      <c r="B2748" s="637"/>
      <c r="C2748" s="637"/>
      <c r="D2748" s="637"/>
      <c r="E2748" s="637"/>
      <c r="F2748" s="637"/>
      <c r="G2748" s="637"/>
      <c r="H2748" s="637"/>
      <c r="I2748" s="637"/>
      <c r="J2748" s="637"/>
    </row>
    <row r="2749" spans="1:10" x14ac:dyDescent="0.2">
      <c r="A2749" s="626"/>
      <c r="B2749" s="637"/>
      <c r="C2749" s="637"/>
      <c r="D2749" s="637"/>
      <c r="E2749" s="637"/>
      <c r="F2749" s="637"/>
      <c r="G2749" s="637"/>
      <c r="H2749" s="637"/>
      <c r="I2749" s="637"/>
      <c r="J2749" s="637"/>
    </row>
    <row r="2750" spans="1:10" x14ac:dyDescent="0.2">
      <c r="A2750" s="626"/>
      <c r="B2750" s="637"/>
      <c r="C2750" s="637"/>
      <c r="D2750" s="637"/>
      <c r="E2750" s="637"/>
      <c r="F2750" s="637"/>
      <c r="G2750" s="637"/>
      <c r="H2750" s="637"/>
      <c r="I2750" s="637"/>
      <c r="J2750" s="637"/>
    </row>
    <row r="2751" spans="1:10" x14ac:dyDescent="0.2">
      <c r="A2751" s="626"/>
      <c r="B2751" s="637"/>
      <c r="C2751" s="637"/>
      <c r="D2751" s="637"/>
      <c r="E2751" s="637"/>
      <c r="F2751" s="637"/>
      <c r="G2751" s="637"/>
      <c r="H2751" s="637"/>
      <c r="I2751" s="637"/>
      <c r="J2751" s="637"/>
    </row>
    <row r="2752" spans="1:10" x14ac:dyDescent="0.2">
      <c r="A2752" s="626"/>
      <c r="B2752" s="637"/>
      <c r="C2752" s="637"/>
      <c r="D2752" s="637"/>
      <c r="E2752" s="637"/>
      <c r="F2752" s="637"/>
      <c r="G2752" s="637"/>
      <c r="H2752" s="637"/>
      <c r="I2752" s="637"/>
      <c r="J2752" s="637"/>
    </row>
    <row r="2753" spans="1:10" x14ac:dyDescent="0.2">
      <c r="A2753" s="626"/>
      <c r="B2753" s="637"/>
      <c r="C2753" s="637"/>
      <c r="D2753" s="637"/>
      <c r="E2753" s="637"/>
      <c r="F2753" s="637"/>
      <c r="G2753" s="637"/>
      <c r="H2753" s="637"/>
      <c r="I2753" s="637"/>
      <c r="J2753" s="637"/>
    </row>
    <row r="2754" spans="1:10" x14ac:dyDescent="0.2">
      <c r="A2754" s="626"/>
      <c r="B2754" s="637"/>
      <c r="C2754" s="637"/>
      <c r="D2754" s="637"/>
      <c r="E2754" s="637"/>
      <c r="F2754" s="637"/>
      <c r="G2754" s="637"/>
      <c r="H2754" s="637"/>
      <c r="I2754" s="637"/>
      <c r="J2754" s="637"/>
    </row>
    <row r="2755" spans="1:10" x14ac:dyDescent="0.2">
      <c r="A2755" s="626"/>
      <c r="B2755" s="637"/>
      <c r="C2755" s="637"/>
      <c r="D2755" s="637"/>
      <c r="E2755" s="637"/>
      <c r="F2755" s="637"/>
      <c r="G2755" s="637"/>
      <c r="H2755" s="637"/>
      <c r="I2755" s="637"/>
      <c r="J2755" s="637"/>
    </row>
    <row r="2756" spans="1:10" x14ac:dyDescent="0.2">
      <c r="A2756" s="626"/>
      <c r="B2756" s="637"/>
      <c r="C2756" s="637"/>
      <c r="D2756" s="637"/>
      <c r="E2756" s="637"/>
      <c r="F2756" s="637"/>
      <c r="G2756" s="637"/>
      <c r="H2756" s="637"/>
      <c r="I2756" s="637"/>
      <c r="J2756" s="637"/>
    </row>
    <row r="2757" spans="1:10" x14ac:dyDescent="0.2">
      <c r="A2757" s="626"/>
      <c r="B2757" s="637"/>
      <c r="C2757" s="637"/>
      <c r="D2757" s="637"/>
      <c r="E2757" s="637"/>
      <c r="F2757" s="637"/>
      <c r="G2757" s="637"/>
      <c r="H2757" s="637"/>
      <c r="I2757" s="637"/>
      <c r="J2757" s="637"/>
    </row>
    <row r="2758" spans="1:10" x14ac:dyDescent="0.2">
      <c r="A2758" s="626"/>
      <c r="B2758" s="637"/>
      <c r="C2758" s="637"/>
      <c r="D2758" s="637"/>
      <c r="E2758" s="637"/>
      <c r="F2758" s="637"/>
      <c r="G2758" s="637"/>
      <c r="H2758" s="637"/>
      <c r="I2758" s="637"/>
      <c r="J2758" s="637"/>
    </row>
    <row r="2759" spans="1:10" x14ac:dyDescent="0.2">
      <c r="A2759" s="626"/>
      <c r="B2759" s="637"/>
      <c r="C2759" s="637"/>
      <c r="D2759" s="637"/>
      <c r="E2759" s="637"/>
      <c r="F2759" s="637"/>
      <c r="G2759" s="637"/>
      <c r="H2759" s="637"/>
      <c r="I2759" s="637"/>
      <c r="J2759" s="637"/>
    </row>
    <row r="2760" spans="1:10" x14ac:dyDescent="0.2">
      <c r="A2760" s="626"/>
      <c r="B2760" s="637"/>
      <c r="C2760" s="637"/>
      <c r="D2760" s="637"/>
      <c r="E2760" s="637"/>
      <c r="F2760" s="637"/>
      <c r="G2760" s="637"/>
      <c r="H2760" s="637"/>
      <c r="I2760" s="637"/>
      <c r="J2760" s="637"/>
    </row>
    <row r="2761" spans="1:10" x14ac:dyDescent="0.2">
      <c r="A2761" s="626"/>
      <c r="B2761" s="637"/>
      <c r="C2761" s="637"/>
      <c r="D2761" s="637"/>
      <c r="E2761" s="637"/>
      <c r="F2761" s="637"/>
      <c r="G2761" s="637"/>
      <c r="H2761" s="637"/>
      <c r="I2761" s="637"/>
      <c r="J2761" s="637"/>
    </row>
    <row r="2762" spans="1:10" x14ac:dyDescent="0.2">
      <c r="A2762" s="626"/>
      <c r="B2762" s="637"/>
      <c r="C2762" s="637"/>
      <c r="D2762" s="637"/>
      <c r="E2762" s="637"/>
      <c r="F2762" s="637"/>
      <c r="G2762" s="637"/>
      <c r="H2762" s="637"/>
      <c r="I2762" s="637"/>
      <c r="J2762" s="637"/>
    </row>
    <row r="2763" spans="1:10" x14ac:dyDescent="0.2">
      <c r="A2763" s="626"/>
      <c r="B2763" s="637"/>
      <c r="C2763" s="637"/>
      <c r="D2763" s="637"/>
      <c r="E2763" s="637"/>
      <c r="F2763" s="637"/>
      <c r="G2763" s="637"/>
      <c r="H2763" s="637"/>
      <c r="I2763" s="637"/>
      <c r="J2763" s="637"/>
    </row>
    <row r="2764" spans="1:10" x14ac:dyDescent="0.2">
      <c r="A2764" s="626"/>
      <c r="B2764" s="637"/>
      <c r="C2764" s="637"/>
      <c r="D2764" s="637"/>
      <c r="E2764" s="637"/>
      <c r="F2764" s="637"/>
      <c r="G2764" s="637"/>
      <c r="H2764" s="637"/>
      <c r="I2764" s="637"/>
      <c r="J2764" s="637"/>
    </row>
    <row r="2765" spans="1:10" x14ac:dyDescent="0.2">
      <c r="A2765" s="626"/>
      <c r="B2765" s="637"/>
      <c r="C2765" s="637"/>
      <c r="D2765" s="637"/>
      <c r="E2765" s="637"/>
      <c r="F2765" s="637"/>
      <c r="G2765" s="637"/>
      <c r="H2765" s="637"/>
      <c r="I2765" s="637"/>
      <c r="J2765" s="637"/>
    </row>
    <row r="2766" spans="1:10" x14ac:dyDescent="0.2">
      <c r="A2766" s="626"/>
      <c r="B2766" s="637"/>
      <c r="C2766" s="637"/>
      <c r="D2766" s="637"/>
      <c r="E2766" s="637"/>
      <c r="F2766" s="637"/>
      <c r="G2766" s="637"/>
      <c r="H2766" s="637"/>
      <c r="I2766" s="637"/>
      <c r="J2766" s="637"/>
    </row>
    <row r="2767" spans="1:10" x14ac:dyDescent="0.2">
      <c r="A2767" s="626"/>
      <c r="B2767" s="637"/>
      <c r="C2767" s="637"/>
      <c r="D2767" s="637"/>
      <c r="E2767" s="637"/>
      <c r="F2767" s="637"/>
      <c r="G2767" s="637"/>
      <c r="H2767" s="637"/>
      <c r="I2767" s="637"/>
      <c r="J2767" s="637"/>
    </row>
    <row r="2768" spans="1:10" x14ac:dyDescent="0.2">
      <c r="A2768" s="626"/>
      <c r="B2768" s="637"/>
      <c r="C2768" s="637"/>
      <c r="D2768" s="637"/>
      <c r="E2768" s="637"/>
      <c r="F2768" s="637"/>
      <c r="G2768" s="637"/>
      <c r="H2768" s="637"/>
      <c r="I2768" s="637"/>
      <c r="J2768" s="637"/>
    </row>
    <row r="2769" spans="1:10" x14ac:dyDescent="0.2">
      <c r="A2769" s="626"/>
      <c r="B2769" s="637"/>
      <c r="C2769" s="637"/>
      <c r="D2769" s="637"/>
      <c r="E2769" s="637"/>
      <c r="F2769" s="637"/>
      <c r="G2769" s="637"/>
      <c r="H2769" s="637"/>
      <c r="I2769" s="637"/>
      <c r="J2769" s="637"/>
    </row>
    <row r="2770" spans="1:10" x14ac:dyDescent="0.2">
      <c r="A2770" s="626"/>
      <c r="B2770" s="637"/>
      <c r="C2770" s="637"/>
      <c r="D2770" s="637"/>
      <c r="E2770" s="637"/>
      <c r="F2770" s="637"/>
      <c r="G2770" s="637"/>
      <c r="H2770" s="637"/>
      <c r="I2770" s="637"/>
      <c r="J2770" s="637"/>
    </row>
    <row r="2771" spans="1:10" x14ac:dyDescent="0.2">
      <c r="A2771" s="626"/>
      <c r="B2771" s="637"/>
      <c r="C2771" s="637"/>
      <c r="D2771" s="637"/>
      <c r="E2771" s="637"/>
      <c r="F2771" s="637"/>
      <c r="G2771" s="637"/>
      <c r="H2771" s="637"/>
      <c r="I2771" s="637"/>
      <c r="J2771" s="637"/>
    </row>
    <row r="2772" spans="1:10" x14ac:dyDescent="0.2">
      <c r="A2772" s="626"/>
      <c r="B2772" s="637"/>
      <c r="C2772" s="637"/>
      <c r="D2772" s="637"/>
      <c r="E2772" s="637"/>
      <c r="F2772" s="637"/>
      <c r="G2772" s="637"/>
      <c r="H2772" s="637"/>
      <c r="I2772" s="637"/>
      <c r="J2772" s="637"/>
    </row>
    <row r="2773" spans="1:10" x14ac:dyDescent="0.2">
      <c r="A2773" s="626"/>
      <c r="B2773" s="637"/>
      <c r="C2773" s="637"/>
      <c r="D2773" s="637"/>
      <c r="E2773" s="637"/>
      <c r="F2773" s="637"/>
      <c r="G2773" s="637"/>
      <c r="H2773" s="637"/>
      <c r="I2773" s="637"/>
      <c r="J2773" s="637"/>
    </row>
    <row r="2774" spans="1:10" x14ac:dyDescent="0.2">
      <c r="A2774" s="626"/>
      <c r="B2774" s="637"/>
      <c r="C2774" s="637"/>
      <c r="D2774" s="637"/>
      <c r="E2774" s="637"/>
      <c r="F2774" s="637"/>
      <c r="G2774" s="637"/>
      <c r="H2774" s="637"/>
      <c r="I2774" s="637"/>
      <c r="J2774" s="637"/>
    </row>
    <row r="2775" spans="1:10" x14ac:dyDescent="0.2">
      <c r="A2775" s="626"/>
      <c r="B2775" s="637"/>
      <c r="C2775" s="637"/>
      <c r="D2775" s="637"/>
      <c r="E2775" s="637"/>
      <c r="F2775" s="637"/>
      <c r="G2775" s="637"/>
      <c r="H2775" s="637"/>
      <c r="I2775" s="637"/>
      <c r="J2775" s="637"/>
    </row>
    <row r="2776" spans="1:10" x14ac:dyDescent="0.2">
      <c r="A2776" s="626"/>
      <c r="B2776" s="637"/>
      <c r="C2776" s="637"/>
      <c r="D2776" s="637"/>
      <c r="E2776" s="637"/>
      <c r="F2776" s="637"/>
      <c r="G2776" s="637"/>
      <c r="H2776" s="637"/>
      <c r="I2776" s="637"/>
      <c r="J2776" s="637"/>
    </row>
    <row r="2777" spans="1:10" x14ac:dyDescent="0.2">
      <c r="A2777" s="626"/>
      <c r="B2777" s="637"/>
      <c r="C2777" s="637"/>
      <c r="D2777" s="637"/>
      <c r="E2777" s="637"/>
      <c r="F2777" s="637"/>
      <c r="G2777" s="637"/>
      <c r="H2777" s="637"/>
      <c r="I2777" s="637"/>
      <c r="J2777" s="637"/>
    </row>
    <row r="2778" spans="1:10" x14ac:dyDescent="0.2">
      <c r="A2778" s="626"/>
      <c r="B2778" s="637"/>
      <c r="C2778" s="637"/>
      <c r="D2778" s="637"/>
      <c r="E2778" s="637"/>
      <c r="F2778" s="637"/>
      <c r="G2778" s="637"/>
      <c r="H2778" s="637"/>
      <c r="I2778" s="637"/>
      <c r="J2778" s="637"/>
    </row>
    <row r="2779" spans="1:10" x14ac:dyDescent="0.2">
      <c r="A2779" s="626"/>
      <c r="B2779" s="637"/>
      <c r="C2779" s="637"/>
      <c r="D2779" s="637"/>
      <c r="E2779" s="637"/>
      <c r="F2779" s="637"/>
      <c r="G2779" s="637"/>
      <c r="H2779" s="637"/>
      <c r="I2779" s="637"/>
      <c r="J2779" s="637"/>
    </row>
    <row r="2780" spans="1:10" x14ac:dyDescent="0.2">
      <c r="A2780" s="626"/>
      <c r="B2780" s="637"/>
      <c r="C2780" s="637"/>
      <c r="D2780" s="637"/>
      <c r="E2780" s="637"/>
      <c r="F2780" s="637"/>
      <c r="G2780" s="637"/>
      <c r="H2780" s="637"/>
      <c r="I2780" s="637"/>
      <c r="J2780" s="637"/>
    </row>
    <row r="2781" spans="1:10" x14ac:dyDescent="0.2">
      <c r="A2781" s="626"/>
      <c r="B2781" s="637"/>
      <c r="C2781" s="637"/>
      <c r="D2781" s="637"/>
      <c r="E2781" s="637"/>
      <c r="F2781" s="637"/>
      <c r="G2781" s="637"/>
      <c r="H2781" s="637"/>
      <c r="I2781" s="637"/>
      <c r="J2781" s="637"/>
    </row>
    <row r="2782" spans="1:10" x14ac:dyDescent="0.2">
      <c r="A2782" s="626"/>
      <c r="B2782" s="637"/>
      <c r="C2782" s="637"/>
      <c r="D2782" s="637"/>
      <c r="E2782" s="637"/>
      <c r="F2782" s="637"/>
      <c r="G2782" s="637"/>
      <c r="H2782" s="637"/>
      <c r="I2782" s="637"/>
      <c r="J2782" s="637"/>
    </row>
    <row r="2783" spans="1:10" x14ac:dyDescent="0.2">
      <c r="A2783" s="626"/>
      <c r="B2783" s="637"/>
      <c r="C2783" s="637"/>
      <c r="D2783" s="637"/>
      <c r="E2783" s="637"/>
      <c r="F2783" s="637"/>
      <c r="G2783" s="637"/>
      <c r="H2783" s="637"/>
      <c r="I2783" s="637"/>
      <c r="J2783" s="637"/>
    </row>
    <row r="2784" spans="1:10" x14ac:dyDescent="0.2">
      <c r="A2784" s="626"/>
      <c r="B2784" s="637"/>
      <c r="C2784" s="637"/>
      <c r="D2784" s="637"/>
      <c r="E2784" s="637"/>
      <c r="F2784" s="637"/>
      <c r="G2784" s="637"/>
      <c r="H2784" s="637"/>
      <c r="I2784" s="637"/>
      <c r="J2784" s="637"/>
    </row>
    <row r="2785" spans="1:10" x14ac:dyDescent="0.2">
      <c r="A2785" s="626"/>
      <c r="B2785" s="637"/>
      <c r="C2785" s="637"/>
      <c r="D2785" s="637"/>
      <c r="E2785" s="637"/>
      <c r="F2785" s="637"/>
      <c r="G2785" s="637"/>
      <c r="H2785" s="637"/>
      <c r="I2785" s="637"/>
      <c r="J2785" s="637"/>
    </row>
    <row r="2786" spans="1:10" x14ac:dyDescent="0.2">
      <c r="A2786" s="626"/>
      <c r="B2786" s="637"/>
      <c r="C2786" s="637"/>
      <c r="D2786" s="637"/>
      <c r="E2786" s="637"/>
      <c r="F2786" s="637"/>
      <c r="G2786" s="637"/>
      <c r="H2786" s="637"/>
      <c r="I2786" s="637"/>
      <c r="J2786" s="637"/>
    </row>
    <row r="2787" spans="1:10" x14ac:dyDescent="0.2">
      <c r="A2787" s="626"/>
      <c r="B2787" s="637"/>
      <c r="C2787" s="637"/>
      <c r="D2787" s="637"/>
      <c r="E2787" s="637"/>
      <c r="F2787" s="637"/>
      <c r="G2787" s="637"/>
      <c r="H2787" s="637"/>
      <c r="I2787" s="637"/>
      <c r="J2787" s="637"/>
    </row>
    <row r="2788" spans="1:10" x14ac:dyDescent="0.2">
      <c r="A2788" s="626"/>
      <c r="B2788" s="637"/>
      <c r="C2788" s="637"/>
      <c r="D2788" s="637"/>
      <c r="E2788" s="637"/>
      <c r="F2788" s="637"/>
      <c r="G2788" s="637"/>
      <c r="H2788" s="637"/>
      <c r="I2788" s="637"/>
      <c r="J2788" s="637"/>
    </row>
    <row r="2789" spans="1:10" x14ac:dyDescent="0.2">
      <c r="A2789" s="626"/>
      <c r="B2789" s="637"/>
      <c r="C2789" s="637"/>
      <c r="D2789" s="637"/>
      <c r="E2789" s="637"/>
      <c r="F2789" s="637"/>
      <c r="G2789" s="637"/>
      <c r="H2789" s="637"/>
      <c r="I2789" s="637"/>
      <c r="J2789" s="637"/>
    </row>
    <row r="2790" spans="1:10" x14ac:dyDescent="0.2">
      <c r="A2790" s="626"/>
      <c r="B2790" s="637"/>
      <c r="C2790" s="637"/>
      <c r="D2790" s="637"/>
      <c r="E2790" s="637"/>
      <c r="F2790" s="637"/>
      <c r="G2790" s="637"/>
      <c r="H2790" s="637"/>
      <c r="I2790" s="637"/>
      <c r="J2790" s="637"/>
    </row>
    <row r="2791" spans="1:10" x14ac:dyDescent="0.2">
      <c r="A2791" s="626"/>
      <c r="B2791" s="637"/>
      <c r="C2791" s="637"/>
      <c r="D2791" s="637"/>
      <c r="E2791" s="637"/>
      <c r="F2791" s="637"/>
      <c r="G2791" s="637"/>
      <c r="H2791" s="637"/>
      <c r="I2791" s="637"/>
      <c r="J2791" s="637"/>
    </row>
    <row r="2792" spans="1:10" x14ac:dyDescent="0.2">
      <c r="A2792" s="626"/>
      <c r="B2792" s="637"/>
      <c r="C2792" s="637"/>
      <c r="D2792" s="637"/>
      <c r="E2792" s="637"/>
      <c r="F2792" s="637"/>
      <c r="G2792" s="637"/>
      <c r="H2792" s="637"/>
      <c r="I2792" s="637"/>
      <c r="J2792" s="637"/>
    </row>
    <row r="2793" spans="1:10" x14ac:dyDescent="0.2">
      <c r="A2793" s="626"/>
      <c r="B2793" s="637"/>
      <c r="C2793" s="637"/>
      <c r="D2793" s="637"/>
      <c r="E2793" s="637"/>
      <c r="F2793" s="637"/>
      <c r="G2793" s="637"/>
      <c r="H2793" s="637"/>
      <c r="I2793" s="637"/>
      <c r="J2793" s="637"/>
    </row>
    <row r="2794" spans="1:10" x14ac:dyDescent="0.2">
      <c r="A2794" s="626"/>
      <c r="B2794" s="637"/>
      <c r="C2794" s="637"/>
      <c r="D2794" s="637"/>
      <c r="E2794" s="637"/>
      <c r="F2794" s="637"/>
      <c r="G2794" s="637"/>
      <c r="H2794" s="637"/>
      <c r="I2794" s="637"/>
      <c r="J2794" s="637"/>
    </row>
    <row r="2795" spans="1:10" x14ac:dyDescent="0.2">
      <c r="A2795" s="626"/>
      <c r="B2795" s="637"/>
      <c r="C2795" s="637"/>
      <c r="D2795" s="637"/>
      <c r="E2795" s="637"/>
      <c r="F2795" s="637"/>
      <c r="G2795" s="637"/>
      <c r="H2795" s="637"/>
      <c r="I2795" s="637"/>
      <c r="J2795" s="637"/>
    </row>
    <row r="2796" spans="1:10" x14ac:dyDescent="0.2">
      <c r="A2796" s="626"/>
      <c r="B2796" s="637"/>
      <c r="C2796" s="637"/>
      <c r="D2796" s="637"/>
      <c r="E2796" s="637"/>
      <c r="F2796" s="637"/>
      <c r="G2796" s="637"/>
      <c r="H2796" s="637"/>
      <c r="I2796" s="637"/>
      <c r="J2796" s="637"/>
    </row>
    <row r="2797" spans="1:10" x14ac:dyDescent="0.2">
      <c r="A2797" s="626"/>
      <c r="B2797" s="637"/>
      <c r="C2797" s="637"/>
      <c r="D2797" s="637"/>
      <c r="E2797" s="637"/>
      <c r="F2797" s="637"/>
      <c r="G2797" s="637"/>
      <c r="H2797" s="637"/>
      <c r="I2797" s="637"/>
      <c r="J2797" s="637"/>
    </row>
    <row r="2798" spans="1:10" x14ac:dyDescent="0.2">
      <c r="A2798" s="626"/>
      <c r="B2798" s="637"/>
      <c r="C2798" s="637"/>
      <c r="D2798" s="637"/>
      <c r="E2798" s="637"/>
      <c r="F2798" s="637"/>
      <c r="G2798" s="637"/>
      <c r="H2798" s="637"/>
      <c r="I2798" s="637"/>
      <c r="J2798" s="637"/>
    </row>
    <row r="2799" spans="1:10" x14ac:dyDescent="0.2">
      <c r="A2799" s="626"/>
      <c r="B2799" s="637"/>
      <c r="C2799" s="637"/>
      <c r="D2799" s="637"/>
      <c r="E2799" s="637"/>
      <c r="F2799" s="637"/>
      <c r="G2799" s="637"/>
      <c r="H2799" s="637"/>
      <c r="I2799" s="637"/>
      <c r="J2799" s="637"/>
    </row>
    <row r="2800" spans="1:10" x14ac:dyDescent="0.2">
      <c r="A2800" s="626"/>
      <c r="B2800" s="637"/>
      <c r="C2800" s="637"/>
      <c r="D2800" s="637"/>
      <c r="E2800" s="637"/>
      <c r="F2800" s="637"/>
      <c r="G2800" s="637"/>
      <c r="H2800" s="637"/>
      <c r="I2800" s="637"/>
      <c r="J2800" s="637"/>
    </row>
    <row r="2801" spans="1:10" x14ac:dyDescent="0.2">
      <c r="A2801" s="626"/>
      <c r="B2801" s="637"/>
      <c r="C2801" s="637"/>
      <c r="D2801" s="637"/>
      <c r="E2801" s="637"/>
      <c r="F2801" s="637"/>
      <c r="G2801" s="637"/>
      <c r="H2801" s="637"/>
      <c r="I2801" s="637"/>
      <c r="J2801" s="637"/>
    </row>
    <row r="2802" spans="1:10" x14ac:dyDescent="0.2">
      <c r="A2802" s="626"/>
      <c r="B2802" s="637"/>
      <c r="C2802" s="637"/>
      <c r="D2802" s="637"/>
      <c r="E2802" s="637"/>
      <c r="F2802" s="637"/>
      <c r="G2802" s="637"/>
      <c r="H2802" s="637"/>
      <c r="I2802" s="637"/>
      <c r="J2802" s="637"/>
    </row>
    <row r="2803" spans="1:10" x14ac:dyDescent="0.2">
      <c r="A2803" s="626"/>
      <c r="B2803" s="637"/>
      <c r="C2803" s="637"/>
      <c r="D2803" s="637"/>
      <c r="E2803" s="637"/>
      <c r="F2803" s="637"/>
      <c r="G2803" s="637"/>
      <c r="H2803" s="637"/>
      <c r="I2803" s="637"/>
      <c r="J2803" s="637"/>
    </row>
    <row r="2804" spans="1:10" x14ac:dyDescent="0.2">
      <c r="A2804" s="626"/>
      <c r="B2804" s="637"/>
      <c r="C2804" s="637"/>
      <c r="D2804" s="637"/>
      <c r="E2804" s="637"/>
      <c r="F2804" s="637"/>
      <c r="G2804" s="637"/>
      <c r="H2804" s="637"/>
      <c r="I2804" s="637"/>
      <c r="J2804" s="637"/>
    </row>
    <row r="2805" spans="1:10" x14ac:dyDescent="0.2">
      <c r="A2805" s="626"/>
      <c r="B2805" s="637"/>
      <c r="C2805" s="637"/>
      <c r="D2805" s="637"/>
      <c r="E2805" s="637"/>
      <c r="F2805" s="637"/>
      <c r="G2805" s="637"/>
      <c r="H2805" s="637"/>
      <c r="I2805" s="637"/>
      <c r="J2805" s="637"/>
    </row>
    <row r="2806" spans="1:10" x14ac:dyDescent="0.2">
      <c r="A2806" s="626"/>
      <c r="B2806" s="637"/>
      <c r="C2806" s="637"/>
      <c r="D2806" s="637"/>
      <c r="E2806" s="637"/>
      <c r="F2806" s="637"/>
      <c r="G2806" s="637"/>
      <c r="H2806" s="637"/>
      <c r="I2806" s="637"/>
      <c r="J2806" s="637"/>
    </row>
    <row r="2807" spans="1:10" x14ac:dyDescent="0.2">
      <c r="A2807" s="626"/>
      <c r="B2807" s="637"/>
      <c r="C2807" s="637"/>
      <c r="D2807" s="637"/>
      <c r="E2807" s="637"/>
      <c r="F2807" s="637"/>
      <c r="G2807" s="637"/>
      <c r="H2807" s="637"/>
      <c r="I2807" s="637"/>
      <c r="J2807" s="637"/>
    </row>
    <row r="2808" spans="1:10" x14ac:dyDescent="0.2">
      <c r="A2808" s="626"/>
      <c r="B2808" s="637"/>
      <c r="C2808" s="637"/>
      <c r="D2808" s="637"/>
      <c r="E2808" s="637"/>
      <c r="F2808" s="637"/>
      <c r="G2808" s="637"/>
      <c r="H2808" s="637"/>
      <c r="I2808" s="637"/>
      <c r="J2808" s="637"/>
    </row>
    <row r="2809" spans="1:10" x14ac:dyDescent="0.2">
      <c r="A2809" s="626"/>
      <c r="B2809" s="637"/>
      <c r="C2809" s="637"/>
      <c r="D2809" s="637"/>
      <c r="E2809" s="637"/>
      <c r="F2809" s="637"/>
      <c r="G2809" s="637"/>
      <c r="H2809" s="637"/>
      <c r="I2809" s="637"/>
      <c r="J2809" s="637"/>
    </row>
    <row r="2810" spans="1:10" x14ac:dyDescent="0.2">
      <c r="A2810" s="626"/>
      <c r="B2810" s="637"/>
      <c r="C2810" s="637"/>
      <c r="D2810" s="637"/>
      <c r="E2810" s="637"/>
      <c r="F2810" s="637"/>
      <c r="G2810" s="637"/>
      <c r="H2810" s="637"/>
      <c r="I2810" s="637"/>
      <c r="J2810" s="637"/>
    </row>
    <row r="2811" spans="1:10" x14ac:dyDescent="0.2">
      <c r="A2811" s="626"/>
      <c r="B2811" s="637"/>
      <c r="C2811" s="637"/>
      <c r="D2811" s="637"/>
      <c r="E2811" s="637"/>
      <c r="F2811" s="637"/>
      <c r="G2811" s="637"/>
      <c r="H2811" s="637"/>
      <c r="I2811" s="637"/>
      <c r="J2811" s="637"/>
    </row>
    <row r="2812" spans="1:10" x14ac:dyDescent="0.2">
      <c r="A2812" s="626"/>
      <c r="B2812" s="637"/>
      <c r="C2812" s="637"/>
      <c r="D2812" s="637"/>
      <c r="E2812" s="637"/>
      <c r="F2812" s="637"/>
      <c r="G2812" s="637"/>
      <c r="H2812" s="637"/>
      <c r="I2812" s="637"/>
      <c r="J2812" s="637"/>
    </row>
    <row r="2813" spans="1:10" x14ac:dyDescent="0.2">
      <c r="A2813" s="626"/>
      <c r="B2813" s="637"/>
      <c r="C2813" s="637"/>
      <c r="D2813" s="637"/>
      <c r="E2813" s="637"/>
      <c r="F2813" s="637"/>
      <c r="G2813" s="637"/>
      <c r="H2813" s="637"/>
      <c r="I2813" s="637"/>
      <c r="J2813" s="637"/>
    </row>
    <row r="2814" spans="1:10" x14ac:dyDescent="0.2">
      <c r="A2814" s="626"/>
      <c r="B2814" s="637"/>
      <c r="C2814" s="637"/>
      <c r="D2814" s="637"/>
      <c r="E2814" s="637"/>
      <c r="F2814" s="637"/>
      <c r="G2814" s="637"/>
      <c r="H2814" s="637"/>
      <c r="I2814" s="637"/>
      <c r="J2814" s="637"/>
    </row>
    <row r="2815" spans="1:10" x14ac:dyDescent="0.2">
      <c r="A2815" s="626"/>
      <c r="B2815" s="637"/>
      <c r="C2815" s="637"/>
      <c r="D2815" s="637"/>
      <c r="E2815" s="637"/>
      <c r="F2815" s="637"/>
      <c r="G2815" s="637"/>
      <c r="H2815" s="637"/>
      <c r="I2815" s="637"/>
      <c r="J2815" s="637"/>
    </row>
    <row r="2816" spans="1:10" x14ac:dyDescent="0.2">
      <c r="A2816" s="626"/>
      <c r="B2816" s="637"/>
      <c r="C2816" s="637"/>
      <c r="D2816" s="637"/>
      <c r="E2816" s="637"/>
      <c r="F2816" s="637"/>
      <c r="G2816" s="637"/>
      <c r="H2816" s="637"/>
      <c r="I2816" s="637"/>
      <c r="J2816" s="637"/>
    </row>
    <row r="2817" spans="1:10" x14ac:dyDescent="0.2">
      <c r="A2817" s="626"/>
      <c r="B2817" s="637"/>
      <c r="C2817" s="637"/>
      <c r="D2817" s="637"/>
      <c r="E2817" s="637"/>
      <c r="F2817" s="637"/>
      <c r="G2817" s="637"/>
      <c r="H2817" s="637"/>
      <c r="I2817" s="637"/>
      <c r="J2817" s="637"/>
    </row>
    <row r="2818" spans="1:10" x14ac:dyDescent="0.2">
      <c r="A2818" s="626"/>
      <c r="B2818" s="637"/>
      <c r="C2818" s="637"/>
      <c r="D2818" s="637"/>
      <c r="E2818" s="637"/>
      <c r="F2818" s="637"/>
      <c r="G2818" s="637"/>
      <c r="H2818" s="637"/>
      <c r="I2818" s="637"/>
      <c r="J2818" s="637"/>
    </row>
    <row r="2819" spans="1:10" x14ac:dyDescent="0.2">
      <c r="A2819" s="626"/>
      <c r="B2819" s="637"/>
      <c r="C2819" s="637"/>
      <c r="D2819" s="637"/>
      <c r="E2819" s="637"/>
      <c r="F2819" s="637"/>
      <c r="G2819" s="637"/>
      <c r="H2819" s="637"/>
      <c r="I2819" s="637"/>
      <c r="J2819" s="637"/>
    </row>
    <row r="2820" spans="1:10" x14ac:dyDescent="0.2">
      <c r="A2820" s="626"/>
      <c r="B2820" s="637"/>
      <c r="C2820" s="637"/>
      <c r="D2820" s="637"/>
      <c r="E2820" s="637"/>
      <c r="F2820" s="637"/>
      <c r="G2820" s="637"/>
      <c r="H2820" s="637"/>
      <c r="I2820" s="637"/>
      <c r="J2820" s="637"/>
    </row>
    <row r="2821" spans="1:10" x14ac:dyDescent="0.2">
      <c r="A2821" s="626"/>
      <c r="B2821" s="637"/>
      <c r="C2821" s="637"/>
      <c r="D2821" s="637"/>
      <c r="E2821" s="637"/>
      <c r="F2821" s="637"/>
      <c r="G2821" s="637"/>
      <c r="H2821" s="637"/>
      <c r="I2821" s="637"/>
      <c r="J2821" s="637"/>
    </row>
    <row r="2822" spans="1:10" x14ac:dyDescent="0.2">
      <c r="A2822" s="626"/>
      <c r="B2822" s="637"/>
      <c r="C2822" s="637"/>
      <c r="D2822" s="637"/>
      <c r="E2822" s="637"/>
      <c r="F2822" s="637"/>
      <c r="G2822" s="637"/>
      <c r="H2822" s="637"/>
      <c r="I2822" s="637"/>
      <c r="J2822" s="637"/>
    </row>
    <row r="2823" spans="1:10" x14ac:dyDescent="0.2">
      <c r="A2823" s="626"/>
      <c r="B2823" s="637"/>
      <c r="C2823" s="637"/>
      <c r="D2823" s="637"/>
      <c r="E2823" s="637"/>
      <c r="F2823" s="637"/>
      <c r="G2823" s="637"/>
      <c r="H2823" s="637"/>
      <c r="I2823" s="637"/>
      <c r="J2823" s="637"/>
    </row>
    <row r="2824" spans="1:10" x14ac:dyDescent="0.2">
      <c r="A2824" s="626"/>
      <c r="B2824" s="637"/>
      <c r="C2824" s="637"/>
      <c r="D2824" s="637"/>
      <c r="E2824" s="637"/>
      <c r="F2824" s="637"/>
      <c r="G2824" s="637"/>
      <c r="H2824" s="637"/>
      <c r="I2824" s="637"/>
      <c r="J2824" s="637"/>
    </row>
    <row r="2825" spans="1:10" x14ac:dyDescent="0.2">
      <c r="A2825" s="626"/>
      <c r="B2825" s="637"/>
      <c r="C2825" s="637"/>
      <c r="D2825" s="637"/>
      <c r="E2825" s="637"/>
      <c r="F2825" s="637"/>
      <c r="G2825" s="637"/>
      <c r="H2825" s="637"/>
      <c r="I2825" s="637"/>
      <c r="J2825" s="637"/>
    </row>
    <row r="2826" spans="1:10" x14ac:dyDescent="0.2">
      <c r="A2826" s="626"/>
      <c r="B2826" s="637"/>
      <c r="C2826" s="637"/>
      <c r="D2826" s="637"/>
      <c r="E2826" s="637"/>
      <c r="F2826" s="637"/>
      <c r="G2826" s="637"/>
      <c r="H2826" s="637"/>
      <c r="I2826" s="637"/>
      <c r="J2826" s="637"/>
    </row>
    <row r="2827" spans="1:10" x14ac:dyDescent="0.2">
      <c r="A2827" s="626"/>
      <c r="B2827" s="637"/>
      <c r="C2827" s="637"/>
      <c r="D2827" s="637"/>
      <c r="E2827" s="637"/>
      <c r="F2827" s="637"/>
      <c r="G2827" s="637"/>
      <c r="H2827" s="637"/>
      <c r="I2827" s="637"/>
      <c r="J2827" s="637"/>
    </row>
    <row r="2828" spans="1:10" x14ac:dyDescent="0.2">
      <c r="A2828" s="626"/>
      <c r="B2828" s="637"/>
      <c r="C2828" s="637"/>
      <c r="D2828" s="637"/>
      <c r="E2828" s="637"/>
      <c r="F2828" s="637"/>
      <c r="G2828" s="637"/>
      <c r="H2828" s="637"/>
      <c r="I2828" s="637"/>
      <c r="J2828" s="637"/>
    </row>
    <row r="2829" spans="1:10" x14ac:dyDescent="0.2">
      <c r="A2829" s="626"/>
      <c r="B2829" s="637"/>
      <c r="C2829" s="637"/>
      <c r="D2829" s="637"/>
      <c r="E2829" s="637"/>
      <c r="F2829" s="637"/>
      <c r="G2829" s="637"/>
      <c r="H2829" s="637"/>
      <c r="I2829" s="637"/>
      <c r="J2829" s="637"/>
    </row>
    <row r="2830" spans="1:10" x14ac:dyDescent="0.2">
      <c r="A2830" s="626"/>
      <c r="B2830" s="637"/>
      <c r="C2830" s="637"/>
      <c r="D2830" s="637"/>
      <c r="E2830" s="637"/>
      <c r="F2830" s="637"/>
      <c r="G2830" s="637"/>
      <c r="H2830" s="637"/>
      <c r="I2830" s="637"/>
      <c r="J2830" s="637"/>
    </row>
    <row r="2831" spans="1:10" x14ac:dyDescent="0.2">
      <c r="A2831" s="626"/>
      <c r="B2831" s="637"/>
      <c r="C2831" s="637"/>
      <c r="D2831" s="637"/>
      <c r="E2831" s="637"/>
      <c r="F2831" s="637"/>
      <c r="G2831" s="637"/>
      <c r="H2831" s="637"/>
      <c r="I2831" s="637"/>
      <c r="J2831" s="637"/>
    </row>
    <row r="2832" spans="1:10" x14ac:dyDescent="0.2">
      <c r="A2832" s="626"/>
      <c r="B2832" s="637"/>
      <c r="C2832" s="637"/>
      <c r="D2832" s="637"/>
      <c r="E2832" s="637"/>
      <c r="F2832" s="637"/>
      <c r="G2832" s="637"/>
      <c r="H2832" s="637"/>
      <c r="I2832" s="637"/>
      <c r="J2832" s="637"/>
    </row>
    <row r="2833" spans="1:10" x14ac:dyDescent="0.2">
      <c r="A2833" s="626"/>
      <c r="B2833" s="637"/>
      <c r="C2833" s="637"/>
      <c r="D2833" s="637"/>
      <c r="E2833" s="637"/>
      <c r="F2833" s="637"/>
      <c r="G2833" s="637"/>
      <c r="H2833" s="637"/>
      <c r="I2833" s="637"/>
      <c r="J2833" s="637"/>
    </row>
    <row r="2834" spans="1:10" x14ac:dyDescent="0.2">
      <c r="A2834" s="626"/>
      <c r="B2834" s="637"/>
      <c r="C2834" s="637"/>
      <c r="D2834" s="637"/>
      <c r="E2834" s="637"/>
      <c r="F2834" s="637"/>
      <c r="G2834" s="637"/>
      <c r="H2834" s="637"/>
      <c r="I2834" s="637"/>
      <c r="J2834" s="637"/>
    </row>
    <row r="2835" spans="1:10" x14ac:dyDescent="0.2">
      <c r="A2835" s="626"/>
      <c r="B2835" s="637"/>
      <c r="C2835" s="637"/>
      <c r="D2835" s="637"/>
      <c r="E2835" s="637"/>
      <c r="F2835" s="637"/>
      <c r="G2835" s="637"/>
      <c r="H2835" s="637"/>
      <c r="I2835" s="637"/>
      <c r="J2835" s="637"/>
    </row>
    <row r="2836" spans="1:10" x14ac:dyDescent="0.2">
      <c r="A2836" s="626"/>
      <c r="B2836" s="637"/>
      <c r="C2836" s="637"/>
      <c r="D2836" s="637"/>
      <c r="E2836" s="637"/>
      <c r="F2836" s="637"/>
      <c r="G2836" s="637"/>
      <c r="H2836" s="637"/>
      <c r="I2836" s="637"/>
      <c r="J2836" s="637"/>
    </row>
    <row r="2837" spans="1:10" x14ac:dyDescent="0.2">
      <c r="A2837" s="626"/>
      <c r="B2837" s="637"/>
      <c r="C2837" s="637"/>
      <c r="D2837" s="637"/>
      <c r="E2837" s="637"/>
      <c r="F2837" s="637"/>
      <c r="G2837" s="637"/>
      <c r="H2837" s="637"/>
      <c r="I2837" s="637"/>
      <c r="J2837" s="637"/>
    </row>
    <row r="2838" spans="1:10" x14ac:dyDescent="0.2">
      <c r="A2838" s="626"/>
      <c r="B2838" s="637"/>
      <c r="C2838" s="637"/>
      <c r="D2838" s="637"/>
      <c r="E2838" s="637"/>
      <c r="F2838" s="637"/>
      <c r="G2838" s="637"/>
      <c r="H2838" s="637"/>
      <c r="I2838" s="637"/>
      <c r="J2838" s="637"/>
    </row>
    <row r="2839" spans="1:10" x14ac:dyDescent="0.2">
      <c r="A2839" s="626"/>
      <c r="B2839" s="637"/>
      <c r="C2839" s="637"/>
      <c r="D2839" s="637"/>
      <c r="E2839" s="637"/>
      <c r="F2839" s="637"/>
      <c r="G2839" s="637"/>
      <c r="H2839" s="637"/>
      <c r="I2839" s="637"/>
      <c r="J2839" s="637"/>
    </row>
    <row r="2840" spans="1:10" x14ac:dyDescent="0.2">
      <c r="A2840" s="626"/>
      <c r="B2840" s="637"/>
      <c r="C2840" s="637"/>
      <c r="D2840" s="637"/>
      <c r="E2840" s="637"/>
      <c r="F2840" s="637"/>
      <c r="G2840" s="637"/>
      <c r="H2840" s="637"/>
      <c r="I2840" s="637"/>
      <c r="J2840" s="637"/>
    </row>
    <row r="2841" spans="1:10" x14ac:dyDescent="0.2">
      <c r="A2841" s="626"/>
      <c r="B2841" s="637"/>
      <c r="C2841" s="637"/>
      <c r="D2841" s="637"/>
      <c r="E2841" s="637"/>
      <c r="F2841" s="637"/>
      <c r="G2841" s="637"/>
      <c r="H2841" s="637"/>
      <c r="I2841" s="637"/>
      <c r="J2841" s="637"/>
    </row>
    <row r="2842" spans="1:10" x14ac:dyDescent="0.2">
      <c r="A2842" s="626"/>
      <c r="B2842" s="637"/>
      <c r="C2842" s="637"/>
      <c r="D2842" s="637"/>
      <c r="E2842" s="637"/>
      <c r="F2842" s="637"/>
      <c r="G2842" s="637"/>
      <c r="H2842" s="637"/>
      <c r="I2842" s="637"/>
      <c r="J2842" s="637"/>
    </row>
    <row r="2843" spans="1:10" x14ac:dyDescent="0.2">
      <c r="A2843" s="626"/>
      <c r="B2843" s="637"/>
      <c r="C2843" s="637"/>
      <c r="D2843" s="637"/>
      <c r="E2843" s="637"/>
      <c r="F2843" s="637"/>
      <c r="G2843" s="637"/>
      <c r="H2843" s="637"/>
      <c r="I2843" s="637"/>
      <c r="J2843" s="637"/>
    </row>
    <row r="2844" spans="1:10" x14ac:dyDescent="0.2">
      <c r="A2844" s="626"/>
      <c r="B2844" s="637"/>
      <c r="C2844" s="637"/>
      <c r="D2844" s="637"/>
      <c r="E2844" s="637"/>
      <c r="F2844" s="637"/>
      <c r="G2844" s="637"/>
      <c r="H2844" s="637"/>
      <c r="I2844" s="637"/>
      <c r="J2844" s="637"/>
    </row>
    <row r="2845" spans="1:10" x14ac:dyDescent="0.2">
      <c r="A2845" s="626"/>
      <c r="B2845" s="637"/>
      <c r="C2845" s="637"/>
      <c r="D2845" s="637"/>
      <c r="E2845" s="637"/>
      <c r="F2845" s="637"/>
      <c r="G2845" s="637"/>
      <c r="H2845" s="637"/>
      <c r="I2845" s="637"/>
      <c r="J2845" s="637"/>
    </row>
    <row r="2846" spans="1:10" x14ac:dyDescent="0.2">
      <c r="A2846" s="626"/>
      <c r="B2846" s="637"/>
      <c r="C2846" s="637"/>
      <c r="D2846" s="637"/>
      <c r="E2846" s="637"/>
      <c r="F2846" s="637"/>
      <c r="G2846" s="637"/>
      <c r="H2846" s="637"/>
      <c r="I2846" s="637"/>
      <c r="J2846" s="637"/>
    </row>
    <row r="2847" spans="1:10" x14ac:dyDescent="0.2">
      <c r="A2847" s="626"/>
      <c r="B2847" s="637"/>
      <c r="C2847" s="637"/>
      <c r="D2847" s="637"/>
      <c r="E2847" s="637"/>
      <c r="F2847" s="637"/>
      <c r="G2847" s="637"/>
      <c r="H2847" s="637"/>
      <c r="I2847" s="637"/>
      <c r="J2847" s="637"/>
    </row>
    <row r="2848" spans="1:10" x14ac:dyDescent="0.2">
      <c r="A2848" s="626"/>
      <c r="B2848" s="637"/>
      <c r="C2848" s="637"/>
      <c r="D2848" s="637"/>
      <c r="E2848" s="637"/>
      <c r="F2848" s="637"/>
      <c r="G2848" s="637"/>
      <c r="H2848" s="637"/>
      <c r="I2848" s="637"/>
      <c r="J2848" s="637"/>
    </row>
    <row r="2849" spans="1:10" x14ac:dyDescent="0.2">
      <c r="A2849" s="626"/>
      <c r="B2849" s="637"/>
      <c r="C2849" s="637"/>
      <c r="D2849" s="637"/>
      <c r="E2849" s="637"/>
      <c r="F2849" s="637"/>
      <c r="G2849" s="637"/>
      <c r="H2849" s="637"/>
      <c r="I2849" s="637"/>
      <c r="J2849" s="637"/>
    </row>
    <row r="2850" spans="1:10" x14ac:dyDescent="0.2">
      <c r="A2850" s="626"/>
      <c r="B2850" s="637"/>
      <c r="C2850" s="637"/>
      <c r="D2850" s="637"/>
      <c r="E2850" s="637"/>
      <c r="F2850" s="637"/>
      <c r="G2850" s="637"/>
      <c r="H2850" s="637"/>
      <c r="I2850" s="637"/>
      <c r="J2850" s="637"/>
    </row>
    <row r="2851" spans="1:10" x14ac:dyDescent="0.2">
      <c r="A2851" s="626"/>
      <c r="B2851" s="637"/>
      <c r="C2851" s="637"/>
      <c r="D2851" s="637"/>
      <c r="E2851" s="637"/>
      <c r="F2851" s="637"/>
      <c r="G2851" s="637"/>
      <c r="H2851" s="637"/>
      <c r="I2851" s="637"/>
      <c r="J2851" s="637"/>
    </row>
    <row r="2852" spans="1:10" x14ac:dyDescent="0.2">
      <c r="A2852" s="626"/>
      <c r="B2852" s="637"/>
      <c r="C2852" s="637"/>
      <c r="D2852" s="637"/>
      <c r="E2852" s="637"/>
      <c r="F2852" s="637"/>
      <c r="G2852" s="637"/>
      <c r="H2852" s="637"/>
      <c r="I2852" s="637"/>
      <c r="J2852" s="637"/>
    </row>
    <row r="2853" spans="1:10" x14ac:dyDescent="0.2">
      <c r="A2853" s="626"/>
      <c r="B2853" s="637"/>
      <c r="C2853" s="637"/>
      <c r="D2853" s="637"/>
      <c r="E2853" s="637"/>
      <c r="F2853" s="637"/>
      <c r="G2853" s="637"/>
      <c r="H2853" s="637"/>
      <c r="I2853" s="637"/>
      <c r="J2853" s="637"/>
    </row>
    <row r="2854" spans="1:10" x14ac:dyDescent="0.2">
      <c r="A2854" s="626"/>
      <c r="B2854" s="637"/>
      <c r="C2854" s="637"/>
      <c r="D2854" s="637"/>
      <c r="E2854" s="637"/>
      <c r="F2854" s="637"/>
      <c r="G2854" s="637"/>
      <c r="H2854" s="637"/>
      <c r="I2854" s="637"/>
      <c r="J2854" s="637"/>
    </row>
    <row r="2855" spans="1:10" x14ac:dyDescent="0.2">
      <c r="A2855" s="626"/>
      <c r="B2855" s="637"/>
      <c r="C2855" s="637"/>
      <c r="D2855" s="637"/>
      <c r="E2855" s="637"/>
      <c r="F2855" s="637"/>
      <c r="G2855" s="637"/>
      <c r="H2855" s="637"/>
      <c r="I2855" s="637"/>
      <c r="J2855" s="637"/>
    </row>
    <row r="2856" spans="1:10" x14ac:dyDescent="0.2">
      <c r="A2856" s="626"/>
      <c r="B2856" s="637"/>
      <c r="C2856" s="637"/>
      <c r="D2856" s="637"/>
      <c r="E2856" s="637"/>
      <c r="F2856" s="637"/>
      <c r="G2856" s="637"/>
      <c r="H2856" s="637"/>
      <c r="I2856" s="637"/>
      <c r="J2856" s="637"/>
    </row>
    <row r="2857" spans="1:10" x14ac:dyDescent="0.2">
      <c r="A2857" s="626"/>
      <c r="B2857" s="637"/>
      <c r="C2857" s="637"/>
      <c r="D2857" s="637"/>
      <c r="E2857" s="637"/>
      <c r="F2857" s="637"/>
      <c r="G2857" s="637"/>
      <c r="H2857" s="637"/>
      <c r="I2857" s="637"/>
      <c r="J2857" s="637"/>
    </row>
    <row r="2858" spans="1:10" x14ac:dyDescent="0.2">
      <c r="A2858" s="626"/>
      <c r="B2858" s="637"/>
      <c r="C2858" s="637"/>
      <c r="D2858" s="637"/>
      <c r="E2858" s="637"/>
      <c r="F2858" s="637"/>
      <c r="G2858" s="637"/>
      <c r="H2858" s="637"/>
      <c r="I2858" s="637"/>
      <c r="J2858" s="637"/>
    </row>
    <row r="2859" spans="1:10" x14ac:dyDescent="0.2">
      <c r="A2859" s="626"/>
      <c r="B2859" s="637"/>
      <c r="C2859" s="637"/>
      <c r="D2859" s="637"/>
      <c r="E2859" s="637"/>
      <c r="F2859" s="637"/>
      <c r="G2859" s="637"/>
      <c r="H2859" s="637"/>
      <c r="I2859" s="637"/>
      <c r="J2859" s="637"/>
    </row>
    <row r="2860" spans="1:10" x14ac:dyDescent="0.2">
      <c r="A2860" s="626"/>
      <c r="B2860" s="637"/>
      <c r="C2860" s="637"/>
      <c r="D2860" s="637"/>
      <c r="E2860" s="637"/>
      <c r="F2860" s="637"/>
      <c r="G2860" s="637"/>
      <c r="H2860" s="637"/>
      <c r="I2860" s="637"/>
      <c r="J2860" s="637"/>
    </row>
    <row r="2861" spans="1:10" x14ac:dyDescent="0.2">
      <c r="A2861" s="626"/>
      <c r="B2861" s="637"/>
      <c r="C2861" s="637"/>
      <c r="D2861" s="637"/>
      <c r="E2861" s="637"/>
      <c r="F2861" s="637"/>
      <c r="G2861" s="637"/>
      <c r="H2861" s="637"/>
      <c r="I2861" s="637"/>
      <c r="J2861" s="637"/>
    </row>
    <row r="2862" spans="1:10" x14ac:dyDescent="0.2">
      <c r="A2862" s="626"/>
      <c r="B2862" s="637"/>
      <c r="C2862" s="637"/>
      <c r="D2862" s="637"/>
      <c r="E2862" s="637"/>
      <c r="F2862" s="637"/>
      <c r="G2862" s="637"/>
      <c r="H2862" s="637"/>
      <c r="I2862" s="637"/>
      <c r="J2862" s="637"/>
    </row>
    <row r="2863" spans="1:10" x14ac:dyDescent="0.2">
      <c r="A2863" s="626"/>
      <c r="B2863" s="637"/>
      <c r="C2863" s="637"/>
      <c r="D2863" s="637"/>
      <c r="E2863" s="637"/>
      <c r="F2863" s="637"/>
      <c r="G2863" s="637"/>
      <c r="H2863" s="637"/>
      <c r="I2863" s="637"/>
      <c r="J2863" s="637"/>
    </row>
    <row r="2864" spans="1:10" x14ac:dyDescent="0.2">
      <c r="A2864" s="626"/>
      <c r="B2864" s="637"/>
      <c r="C2864" s="637"/>
      <c r="D2864" s="637"/>
      <c r="E2864" s="637"/>
      <c r="F2864" s="637"/>
      <c r="G2864" s="637"/>
      <c r="H2864" s="637"/>
      <c r="I2864" s="637"/>
      <c r="J2864" s="637"/>
    </row>
    <row r="2865" spans="1:10" x14ac:dyDescent="0.2">
      <c r="A2865" s="626"/>
      <c r="B2865" s="637"/>
      <c r="C2865" s="637"/>
      <c r="D2865" s="637"/>
      <c r="E2865" s="637"/>
      <c r="F2865" s="637"/>
      <c r="G2865" s="637"/>
      <c r="H2865" s="637"/>
      <c r="I2865" s="637"/>
      <c r="J2865" s="637"/>
    </row>
    <row r="2866" spans="1:10" x14ac:dyDescent="0.2">
      <c r="A2866" s="626"/>
      <c r="B2866" s="637"/>
      <c r="C2866" s="637"/>
      <c r="D2866" s="637"/>
      <c r="E2866" s="637"/>
      <c r="F2866" s="637"/>
      <c r="G2866" s="637"/>
      <c r="H2866" s="637"/>
      <c r="I2866" s="637"/>
      <c r="J2866" s="637"/>
    </row>
    <row r="2867" spans="1:10" x14ac:dyDescent="0.2">
      <c r="A2867" s="626"/>
      <c r="B2867" s="637"/>
      <c r="C2867" s="637"/>
      <c r="D2867" s="637"/>
      <c r="E2867" s="637"/>
      <c r="F2867" s="637"/>
      <c r="G2867" s="637"/>
      <c r="H2867" s="637"/>
      <c r="I2867" s="637"/>
      <c r="J2867" s="637"/>
    </row>
    <row r="2868" spans="1:10" x14ac:dyDescent="0.2">
      <c r="A2868" s="626"/>
      <c r="B2868" s="637"/>
      <c r="C2868" s="637"/>
      <c r="D2868" s="637"/>
      <c r="E2868" s="637"/>
      <c r="F2868" s="637"/>
      <c r="G2868" s="637"/>
      <c r="H2868" s="637"/>
      <c r="I2868" s="637"/>
      <c r="J2868" s="637"/>
    </row>
    <row r="2869" spans="1:10" x14ac:dyDescent="0.2">
      <c r="A2869" s="626"/>
      <c r="B2869" s="637"/>
      <c r="C2869" s="637"/>
      <c r="D2869" s="637"/>
      <c r="E2869" s="637"/>
      <c r="F2869" s="637"/>
      <c r="G2869" s="637"/>
      <c r="H2869" s="637"/>
      <c r="I2869" s="637"/>
      <c r="J2869" s="637"/>
    </row>
    <row r="2870" spans="1:10" x14ac:dyDescent="0.2">
      <c r="A2870" s="626"/>
      <c r="B2870" s="637"/>
      <c r="C2870" s="637"/>
      <c r="D2870" s="637"/>
      <c r="E2870" s="637"/>
      <c r="F2870" s="637"/>
      <c r="G2870" s="637"/>
      <c r="H2870" s="637"/>
      <c r="I2870" s="637"/>
      <c r="J2870" s="637"/>
    </row>
    <row r="2871" spans="1:10" x14ac:dyDescent="0.2">
      <c r="A2871" s="626"/>
      <c r="B2871" s="637"/>
      <c r="C2871" s="637"/>
      <c r="D2871" s="637"/>
      <c r="E2871" s="637"/>
      <c r="F2871" s="637"/>
      <c r="G2871" s="637"/>
      <c r="H2871" s="637"/>
      <c r="I2871" s="637"/>
      <c r="J2871" s="637"/>
    </row>
    <row r="2872" spans="1:10" x14ac:dyDescent="0.2">
      <c r="A2872" s="626"/>
      <c r="B2872" s="637"/>
      <c r="C2872" s="637"/>
      <c r="D2872" s="637"/>
      <c r="E2872" s="637"/>
      <c r="F2872" s="637"/>
      <c r="G2872" s="637"/>
      <c r="H2872" s="637"/>
      <c r="I2872" s="637"/>
      <c r="J2872" s="637"/>
    </row>
    <row r="2873" spans="1:10" x14ac:dyDescent="0.2">
      <c r="A2873" s="626"/>
      <c r="B2873" s="637"/>
      <c r="C2873" s="637"/>
      <c r="D2873" s="637"/>
      <c r="E2873" s="637"/>
      <c r="F2873" s="637"/>
      <c r="G2873" s="637"/>
      <c r="H2873" s="637"/>
      <c r="I2873" s="637"/>
      <c r="J2873" s="637"/>
    </row>
    <row r="2874" spans="1:10" x14ac:dyDescent="0.2">
      <c r="A2874" s="626"/>
      <c r="B2874" s="637"/>
      <c r="C2874" s="637"/>
      <c r="D2874" s="637"/>
      <c r="E2874" s="637"/>
      <c r="F2874" s="637"/>
      <c r="G2874" s="637"/>
      <c r="H2874" s="637"/>
      <c r="I2874" s="637"/>
      <c r="J2874" s="637"/>
    </row>
    <row r="2875" spans="1:10" x14ac:dyDescent="0.2">
      <c r="A2875" s="626"/>
      <c r="B2875" s="637"/>
      <c r="C2875" s="637"/>
      <c r="D2875" s="637"/>
      <c r="E2875" s="637"/>
      <c r="F2875" s="637"/>
      <c r="G2875" s="637"/>
      <c r="H2875" s="637"/>
      <c r="I2875" s="637"/>
      <c r="J2875" s="637"/>
    </row>
    <row r="2876" spans="1:10" x14ac:dyDescent="0.2">
      <c r="A2876" s="626"/>
      <c r="B2876" s="637"/>
      <c r="C2876" s="637"/>
      <c r="D2876" s="637"/>
      <c r="E2876" s="637"/>
      <c r="F2876" s="637"/>
      <c r="G2876" s="637"/>
      <c r="H2876" s="637"/>
      <c r="I2876" s="637"/>
      <c r="J2876" s="637"/>
    </row>
    <row r="2877" spans="1:10" x14ac:dyDescent="0.2">
      <c r="A2877" s="626"/>
      <c r="B2877" s="637"/>
      <c r="C2877" s="637"/>
      <c r="D2877" s="637"/>
      <c r="E2877" s="637"/>
      <c r="F2877" s="637"/>
      <c r="G2877" s="637"/>
      <c r="H2877" s="637"/>
      <c r="I2877" s="637"/>
      <c r="J2877" s="637"/>
    </row>
    <row r="2878" spans="1:10" x14ac:dyDescent="0.2">
      <c r="A2878" s="626"/>
      <c r="B2878" s="637"/>
      <c r="C2878" s="637"/>
      <c r="D2878" s="637"/>
      <c r="E2878" s="637"/>
      <c r="F2878" s="637"/>
      <c r="G2878" s="637"/>
      <c r="H2878" s="637"/>
      <c r="I2878" s="637"/>
      <c r="J2878" s="637"/>
    </row>
    <row r="2879" spans="1:10" x14ac:dyDescent="0.2">
      <c r="A2879" s="626"/>
      <c r="B2879" s="637"/>
      <c r="C2879" s="637"/>
      <c r="D2879" s="637"/>
      <c r="E2879" s="637"/>
      <c r="F2879" s="637"/>
      <c r="G2879" s="637"/>
      <c r="H2879" s="637"/>
      <c r="I2879" s="637"/>
      <c r="J2879" s="637"/>
    </row>
    <row r="2880" spans="1:10" x14ac:dyDescent="0.2">
      <c r="A2880" s="626"/>
      <c r="B2880" s="637"/>
      <c r="C2880" s="637"/>
      <c r="D2880" s="637"/>
      <c r="E2880" s="637"/>
      <c r="F2880" s="637"/>
      <c r="G2880" s="637"/>
      <c r="H2880" s="637"/>
      <c r="I2880" s="637"/>
      <c r="J2880" s="637"/>
    </row>
    <row r="2881" spans="1:10" x14ac:dyDescent="0.2">
      <c r="A2881" s="626"/>
      <c r="B2881" s="637"/>
      <c r="C2881" s="637"/>
      <c r="D2881" s="637"/>
      <c r="E2881" s="637"/>
      <c r="F2881" s="637"/>
      <c r="G2881" s="637"/>
      <c r="H2881" s="637"/>
      <c r="I2881" s="637"/>
      <c r="J2881" s="637"/>
    </row>
    <row r="2882" spans="1:10" x14ac:dyDescent="0.2">
      <c r="A2882" s="626"/>
      <c r="B2882" s="637"/>
      <c r="C2882" s="637"/>
      <c r="D2882" s="637"/>
      <c r="E2882" s="637"/>
      <c r="F2882" s="637"/>
      <c r="G2882" s="637"/>
      <c r="H2882" s="637"/>
      <c r="I2882" s="637"/>
      <c r="J2882" s="637"/>
    </row>
    <row r="2883" spans="1:10" x14ac:dyDescent="0.2">
      <c r="A2883" s="626"/>
      <c r="B2883" s="637"/>
      <c r="C2883" s="637"/>
      <c r="D2883" s="637"/>
      <c r="E2883" s="637"/>
      <c r="F2883" s="637"/>
      <c r="G2883" s="637"/>
      <c r="H2883" s="637"/>
      <c r="I2883" s="637"/>
      <c r="J2883" s="637"/>
    </row>
    <row r="2884" spans="1:10" x14ac:dyDescent="0.2">
      <c r="A2884" s="626"/>
      <c r="B2884" s="637"/>
      <c r="C2884" s="637"/>
      <c r="D2884" s="637"/>
      <c r="E2884" s="637"/>
      <c r="F2884" s="637"/>
      <c r="G2884" s="637"/>
      <c r="H2884" s="637"/>
      <c r="I2884" s="637"/>
      <c r="J2884" s="637"/>
    </row>
    <row r="2885" spans="1:10" x14ac:dyDescent="0.2">
      <c r="A2885" s="626"/>
      <c r="B2885" s="637"/>
      <c r="C2885" s="637"/>
      <c r="D2885" s="637"/>
      <c r="E2885" s="637"/>
      <c r="F2885" s="637"/>
      <c r="G2885" s="637"/>
      <c r="H2885" s="637"/>
      <c r="I2885" s="637"/>
      <c r="J2885" s="637"/>
    </row>
    <row r="2886" spans="1:10" x14ac:dyDescent="0.2">
      <c r="A2886" s="626"/>
      <c r="B2886" s="637"/>
      <c r="C2886" s="637"/>
      <c r="D2886" s="637"/>
      <c r="E2886" s="637"/>
      <c r="F2886" s="637"/>
      <c r="G2886" s="637"/>
      <c r="H2886" s="637"/>
      <c r="I2886" s="637"/>
      <c r="J2886" s="637"/>
    </row>
    <row r="2887" spans="1:10" x14ac:dyDescent="0.2">
      <c r="A2887" s="626"/>
      <c r="B2887" s="637"/>
      <c r="C2887" s="637"/>
      <c r="D2887" s="637"/>
      <c r="E2887" s="637"/>
      <c r="F2887" s="637"/>
      <c r="G2887" s="637"/>
      <c r="H2887" s="637"/>
      <c r="I2887" s="637"/>
      <c r="J2887" s="637"/>
    </row>
    <row r="2888" spans="1:10" x14ac:dyDescent="0.2">
      <c r="A2888" s="626"/>
      <c r="B2888" s="637"/>
      <c r="C2888" s="637"/>
      <c r="D2888" s="637"/>
      <c r="E2888" s="637"/>
      <c r="F2888" s="637"/>
      <c r="G2888" s="637"/>
      <c r="H2888" s="637"/>
      <c r="I2888" s="637"/>
      <c r="J2888" s="637"/>
    </row>
    <row r="2889" spans="1:10" x14ac:dyDescent="0.2">
      <c r="A2889" s="626"/>
      <c r="B2889" s="637"/>
      <c r="C2889" s="637"/>
      <c r="D2889" s="637"/>
      <c r="E2889" s="637"/>
      <c r="F2889" s="637"/>
      <c r="G2889" s="637"/>
      <c r="H2889" s="637"/>
      <c r="I2889" s="637"/>
      <c r="J2889" s="637"/>
    </row>
    <row r="2890" spans="1:10" x14ac:dyDescent="0.2">
      <c r="A2890" s="626"/>
      <c r="B2890" s="637"/>
      <c r="C2890" s="637"/>
      <c r="D2890" s="637"/>
      <c r="E2890" s="637"/>
      <c r="F2890" s="637"/>
      <c r="G2890" s="637"/>
      <c r="H2890" s="637"/>
      <c r="I2890" s="637"/>
      <c r="J2890" s="637"/>
    </row>
    <row r="2891" spans="1:10" x14ac:dyDescent="0.2">
      <c r="A2891" s="626"/>
      <c r="B2891" s="637"/>
      <c r="C2891" s="637"/>
      <c r="D2891" s="637"/>
      <c r="E2891" s="637"/>
      <c r="F2891" s="637"/>
      <c r="G2891" s="637"/>
      <c r="H2891" s="637"/>
      <c r="I2891" s="637"/>
      <c r="J2891" s="637"/>
    </row>
    <row r="2892" spans="1:10" x14ac:dyDescent="0.2">
      <c r="A2892" s="626"/>
      <c r="B2892" s="637"/>
      <c r="C2892" s="637"/>
      <c r="D2892" s="637"/>
      <c r="E2892" s="637"/>
      <c r="F2892" s="637"/>
      <c r="G2892" s="637"/>
      <c r="H2892" s="637"/>
      <c r="I2892" s="637"/>
      <c r="J2892" s="637"/>
    </row>
    <row r="2893" spans="1:10" x14ac:dyDescent="0.2">
      <c r="A2893" s="626"/>
      <c r="B2893" s="637"/>
      <c r="C2893" s="637"/>
      <c r="D2893" s="637"/>
      <c r="E2893" s="637"/>
      <c r="F2893" s="637"/>
      <c r="G2893" s="637"/>
      <c r="H2893" s="637"/>
      <c r="I2893" s="637"/>
      <c r="J2893" s="637"/>
    </row>
    <row r="2894" spans="1:10" x14ac:dyDescent="0.2">
      <c r="A2894" s="626"/>
      <c r="B2894" s="637"/>
      <c r="C2894" s="637"/>
      <c r="D2894" s="637"/>
      <c r="E2894" s="637"/>
      <c r="F2894" s="637"/>
      <c r="G2894" s="637"/>
      <c r="H2894" s="637"/>
      <c r="I2894" s="637"/>
      <c r="J2894" s="637"/>
    </row>
    <row r="2895" spans="1:10" x14ac:dyDescent="0.2">
      <c r="A2895" s="626"/>
      <c r="B2895" s="637"/>
      <c r="C2895" s="637"/>
      <c r="D2895" s="637"/>
      <c r="E2895" s="637"/>
      <c r="F2895" s="637"/>
      <c r="G2895" s="637"/>
      <c r="H2895" s="637"/>
      <c r="I2895" s="637"/>
      <c r="J2895" s="637"/>
    </row>
    <row r="2896" spans="1:10" x14ac:dyDescent="0.2">
      <c r="A2896" s="626"/>
      <c r="B2896" s="637"/>
      <c r="C2896" s="637"/>
      <c r="D2896" s="637"/>
      <c r="E2896" s="637"/>
      <c r="F2896" s="637"/>
      <c r="G2896" s="637"/>
      <c r="H2896" s="637"/>
      <c r="I2896" s="637"/>
      <c r="J2896" s="637"/>
    </row>
    <row r="2897" spans="1:10" x14ac:dyDescent="0.2">
      <c r="A2897" s="626"/>
      <c r="B2897" s="637"/>
      <c r="C2897" s="637"/>
      <c r="D2897" s="637"/>
      <c r="E2897" s="637"/>
      <c r="F2897" s="637"/>
      <c r="G2897" s="637"/>
      <c r="H2897" s="637"/>
      <c r="I2897" s="637"/>
      <c r="J2897" s="637"/>
    </row>
    <row r="2898" spans="1:10" x14ac:dyDescent="0.2">
      <c r="A2898" s="626"/>
      <c r="B2898" s="637"/>
      <c r="C2898" s="637"/>
      <c r="D2898" s="637"/>
      <c r="E2898" s="637"/>
      <c r="F2898" s="637"/>
      <c r="G2898" s="637"/>
      <c r="H2898" s="637"/>
      <c r="I2898" s="637"/>
      <c r="J2898" s="637"/>
    </row>
    <row r="2899" spans="1:10" x14ac:dyDescent="0.2">
      <c r="A2899" s="626"/>
      <c r="B2899" s="637"/>
      <c r="C2899" s="637"/>
      <c r="D2899" s="637"/>
      <c r="E2899" s="637"/>
      <c r="F2899" s="637"/>
      <c r="G2899" s="637"/>
      <c r="H2899" s="637"/>
      <c r="I2899" s="637"/>
      <c r="J2899" s="637"/>
    </row>
    <row r="2900" spans="1:10" x14ac:dyDescent="0.2">
      <c r="A2900" s="626"/>
      <c r="B2900" s="637"/>
      <c r="C2900" s="637"/>
      <c r="D2900" s="637"/>
      <c r="E2900" s="637"/>
      <c r="F2900" s="637"/>
      <c r="G2900" s="637"/>
      <c r="H2900" s="637"/>
      <c r="I2900" s="637"/>
      <c r="J2900" s="637"/>
    </row>
    <row r="2901" spans="1:10" x14ac:dyDescent="0.2">
      <c r="A2901" s="626"/>
      <c r="B2901" s="637"/>
      <c r="C2901" s="637"/>
      <c r="D2901" s="637"/>
      <c r="E2901" s="637"/>
      <c r="F2901" s="637"/>
      <c r="G2901" s="637"/>
      <c r="H2901" s="637"/>
      <c r="I2901" s="637"/>
      <c r="J2901" s="637"/>
    </row>
    <row r="2902" spans="1:10" x14ac:dyDescent="0.2">
      <c r="A2902" s="626"/>
      <c r="B2902" s="637"/>
      <c r="C2902" s="637"/>
      <c r="D2902" s="637"/>
      <c r="E2902" s="637"/>
      <c r="F2902" s="637"/>
      <c r="G2902" s="637"/>
      <c r="H2902" s="637"/>
      <c r="I2902" s="637"/>
      <c r="J2902" s="637"/>
    </row>
    <row r="2903" spans="1:10" x14ac:dyDescent="0.2">
      <c r="A2903" s="626"/>
      <c r="B2903" s="637"/>
      <c r="C2903" s="637"/>
      <c r="D2903" s="637"/>
      <c r="E2903" s="637"/>
      <c r="F2903" s="637"/>
      <c r="G2903" s="637"/>
      <c r="H2903" s="637"/>
      <c r="I2903" s="637"/>
      <c r="J2903" s="637"/>
    </row>
    <row r="2904" spans="1:10" x14ac:dyDescent="0.2">
      <c r="A2904" s="626"/>
      <c r="B2904" s="637"/>
      <c r="C2904" s="637"/>
      <c r="D2904" s="637"/>
      <c r="E2904" s="637"/>
      <c r="F2904" s="637"/>
      <c r="G2904" s="637"/>
      <c r="H2904" s="637"/>
      <c r="I2904" s="637"/>
      <c r="J2904" s="637"/>
    </row>
    <row r="2905" spans="1:10" x14ac:dyDescent="0.2">
      <c r="A2905" s="626"/>
      <c r="B2905" s="637"/>
      <c r="C2905" s="637"/>
      <c r="D2905" s="637"/>
      <c r="E2905" s="637"/>
      <c r="F2905" s="637"/>
      <c r="G2905" s="637"/>
      <c r="H2905" s="637"/>
      <c r="I2905" s="637"/>
      <c r="J2905" s="637"/>
    </row>
    <row r="2906" spans="1:10" x14ac:dyDescent="0.2">
      <c r="A2906" s="626"/>
      <c r="B2906" s="637"/>
      <c r="C2906" s="637"/>
      <c r="D2906" s="637"/>
      <c r="E2906" s="637"/>
      <c r="F2906" s="637"/>
      <c r="G2906" s="637"/>
      <c r="H2906" s="637"/>
      <c r="I2906" s="637"/>
      <c r="J2906" s="637"/>
    </row>
    <row r="2907" spans="1:10" x14ac:dyDescent="0.2">
      <c r="A2907" s="626"/>
      <c r="B2907" s="637"/>
      <c r="C2907" s="637"/>
      <c r="D2907" s="637"/>
      <c r="E2907" s="637"/>
      <c r="F2907" s="637"/>
      <c r="G2907" s="637"/>
      <c r="H2907" s="637"/>
      <c r="I2907" s="637"/>
      <c r="J2907" s="637"/>
    </row>
    <row r="2908" spans="1:10" x14ac:dyDescent="0.2">
      <c r="A2908" s="626"/>
      <c r="B2908" s="637"/>
      <c r="C2908" s="637"/>
      <c r="D2908" s="637"/>
      <c r="E2908" s="637"/>
      <c r="F2908" s="637"/>
      <c r="G2908" s="637"/>
      <c r="H2908" s="637"/>
      <c r="I2908" s="637"/>
      <c r="J2908" s="637"/>
    </row>
    <row r="2909" spans="1:10" x14ac:dyDescent="0.2">
      <c r="A2909" s="626"/>
      <c r="B2909" s="637"/>
      <c r="C2909" s="637"/>
      <c r="D2909" s="637"/>
      <c r="E2909" s="637"/>
      <c r="F2909" s="637"/>
      <c r="G2909" s="637"/>
      <c r="H2909" s="637"/>
      <c r="I2909" s="637"/>
      <c r="J2909" s="637"/>
    </row>
    <row r="2910" spans="1:10" x14ac:dyDescent="0.2">
      <c r="A2910" s="626"/>
      <c r="B2910" s="637"/>
      <c r="C2910" s="637"/>
      <c r="D2910" s="637"/>
      <c r="E2910" s="637"/>
      <c r="F2910" s="637"/>
      <c r="G2910" s="637"/>
      <c r="H2910" s="637"/>
      <c r="I2910" s="637"/>
      <c r="J2910" s="637"/>
    </row>
    <row r="2911" spans="1:10" x14ac:dyDescent="0.2">
      <c r="A2911" s="626"/>
      <c r="B2911" s="637"/>
      <c r="C2911" s="637"/>
      <c r="D2911" s="637"/>
      <c r="E2911" s="637"/>
      <c r="F2911" s="637"/>
      <c r="G2911" s="637"/>
      <c r="H2911" s="637"/>
      <c r="I2911" s="637"/>
      <c r="J2911" s="637"/>
    </row>
    <row r="2912" spans="1:10" x14ac:dyDescent="0.2">
      <c r="A2912" s="626"/>
      <c r="B2912" s="637"/>
      <c r="C2912" s="637"/>
      <c r="D2912" s="637"/>
      <c r="E2912" s="637"/>
      <c r="F2912" s="637"/>
      <c r="G2912" s="637"/>
      <c r="H2912" s="637"/>
      <c r="I2912" s="637"/>
      <c r="J2912" s="637"/>
    </row>
    <row r="2913" spans="1:10" x14ac:dyDescent="0.2">
      <c r="A2913" s="626"/>
      <c r="B2913" s="637"/>
      <c r="C2913" s="637"/>
      <c r="D2913" s="637"/>
      <c r="E2913" s="637"/>
      <c r="F2913" s="637"/>
      <c r="G2913" s="637"/>
      <c r="H2913" s="637"/>
      <c r="I2913" s="637"/>
      <c r="J2913" s="637"/>
    </row>
    <row r="2914" spans="1:10" x14ac:dyDescent="0.2">
      <c r="A2914" s="626"/>
      <c r="B2914" s="637"/>
      <c r="C2914" s="637"/>
      <c r="D2914" s="637"/>
      <c r="E2914" s="637"/>
      <c r="F2914" s="637"/>
      <c r="G2914" s="637"/>
      <c r="H2914" s="637"/>
      <c r="I2914" s="637"/>
      <c r="J2914" s="637"/>
    </row>
    <row r="2915" spans="1:10" x14ac:dyDescent="0.2">
      <c r="A2915" s="626"/>
      <c r="B2915" s="637"/>
      <c r="C2915" s="637"/>
      <c r="D2915" s="637"/>
      <c r="E2915" s="637"/>
      <c r="F2915" s="637"/>
      <c r="G2915" s="637"/>
      <c r="H2915" s="637"/>
      <c r="I2915" s="637"/>
      <c r="J2915" s="637"/>
    </row>
    <row r="2916" spans="1:10" x14ac:dyDescent="0.2">
      <c r="A2916" s="626"/>
      <c r="B2916" s="637"/>
      <c r="C2916" s="637"/>
      <c r="D2916" s="637"/>
      <c r="E2916" s="637"/>
      <c r="F2916" s="637"/>
      <c r="G2916" s="637"/>
      <c r="H2916" s="637"/>
      <c r="I2916" s="637"/>
      <c r="J2916" s="637"/>
    </row>
    <row r="2917" spans="1:10" x14ac:dyDescent="0.2">
      <c r="A2917" s="626"/>
      <c r="B2917" s="637"/>
      <c r="C2917" s="637"/>
      <c r="D2917" s="637"/>
      <c r="E2917" s="637"/>
      <c r="F2917" s="637"/>
      <c r="G2917" s="637"/>
      <c r="H2917" s="637"/>
      <c r="I2917" s="637"/>
      <c r="J2917" s="637"/>
    </row>
    <row r="2918" spans="1:10" x14ac:dyDescent="0.2">
      <c r="A2918" s="626"/>
      <c r="B2918" s="637"/>
      <c r="C2918" s="637"/>
      <c r="D2918" s="637"/>
      <c r="E2918" s="637"/>
      <c r="F2918" s="637"/>
      <c r="G2918" s="637"/>
      <c r="H2918" s="637"/>
      <c r="I2918" s="637"/>
      <c r="J2918" s="637"/>
    </row>
    <row r="2919" spans="1:10" x14ac:dyDescent="0.2">
      <c r="A2919" s="626"/>
      <c r="B2919" s="637"/>
      <c r="C2919" s="637"/>
      <c r="D2919" s="637"/>
      <c r="E2919" s="637"/>
      <c r="F2919" s="637"/>
      <c r="G2919" s="637"/>
      <c r="H2919" s="637"/>
      <c r="I2919" s="637"/>
      <c r="J2919" s="637"/>
    </row>
    <row r="2920" spans="1:10" x14ac:dyDescent="0.2">
      <c r="A2920" s="626"/>
      <c r="B2920" s="637"/>
      <c r="C2920" s="637"/>
      <c r="D2920" s="637"/>
      <c r="E2920" s="637"/>
      <c r="F2920" s="637"/>
      <c r="G2920" s="637"/>
      <c r="H2920" s="637"/>
      <c r="I2920" s="637"/>
      <c r="J2920" s="637"/>
    </row>
    <row r="2921" spans="1:10" x14ac:dyDescent="0.2">
      <c r="A2921" s="626"/>
      <c r="B2921" s="637"/>
      <c r="C2921" s="637"/>
      <c r="D2921" s="637"/>
      <c r="E2921" s="637"/>
      <c r="F2921" s="637"/>
      <c r="G2921" s="637"/>
      <c r="H2921" s="637"/>
      <c r="I2921" s="637"/>
      <c r="J2921" s="637"/>
    </row>
    <row r="2922" spans="1:10" x14ac:dyDescent="0.2">
      <c r="A2922" s="626"/>
      <c r="B2922" s="637"/>
      <c r="C2922" s="637"/>
      <c r="D2922" s="637"/>
      <c r="E2922" s="637"/>
      <c r="F2922" s="637"/>
      <c r="G2922" s="637"/>
      <c r="H2922" s="637"/>
      <c r="I2922" s="637"/>
      <c r="J2922" s="637"/>
    </row>
    <row r="2923" spans="1:10" x14ac:dyDescent="0.2">
      <c r="A2923" s="626"/>
      <c r="B2923" s="637"/>
      <c r="C2923" s="637"/>
      <c r="D2923" s="637"/>
      <c r="E2923" s="637"/>
      <c r="F2923" s="637"/>
      <c r="G2923" s="637"/>
      <c r="H2923" s="637"/>
      <c r="I2923" s="637"/>
      <c r="J2923" s="637"/>
    </row>
    <row r="2924" spans="1:10" x14ac:dyDescent="0.2">
      <c r="A2924" s="626"/>
      <c r="B2924" s="637"/>
      <c r="C2924" s="637"/>
      <c r="D2924" s="637"/>
      <c r="E2924" s="637"/>
      <c r="F2924" s="637"/>
      <c r="G2924" s="637"/>
      <c r="H2924" s="637"/>
      <c r="I2924" s="637"/>
      <c r="J2924" s="637"/>
    </row>
    <row r="2925" spans="1:10" x14ac:dyDescent="0.2">
      <c r="A2925" s="626"/>
      <c r="B2925" s="637"/>
      <c r="C2925" s="637"/>
      <c r="D2925" s="637"/>
      <c r="E2925" s="637"/>
      <c r="F2925" s="637"/>
      <c r="G2925" s="637"/>
      <c r="H2925" s="637"/>
      <c r="I2925" s="637"/>
      <c r="J2925" s="637"/>
    </row>
    <row r="2926" spans="1:10" x14ac:dyDescent="0.2">
      <c r="A2926" s="626"/>
      <c r="B2926" s="637"/>
      <c r="C2926" s="637"/>
      <c r="D2926" s="637"/>
      <c r="E2926" s="637"/>
      <c r="F2926" s="637"/>
      <c r="G2926" s="637"/>
      <c r="H2926" s="637"/>
      <c r="I2926" s="637"/>
      <c r="J2926" s="637"/>
    </row>
    <row r="2927" spans="1:10" x14ac:dyDescent="0.2">
      <c r="A2927" s="626"/>
      <c r="B2927" s="637"/>
      <c r="C2927" s="637"/>
      <c r="D2927" s="637"/>
      <c r="E2927" s="637"/>
      <c r="F2927" s="637"/>
      <c r="G2927" s="637"/>
      <c r="H2927" s="637"/>
      <c r="I2927" s="637"/>
      <c r="J2927" s="637"/>
    </row>
    <row r="2928" spans="1:10" x14ac:dyDescent="0.2">
      <c r="A2928" s="626"/>
      <c r="B2928" s="637"/>
      <c r="C2928" s="637"/>
      <c r="D2928" s="637"/>
      <c r="E2928" s="637"/>
      <c r="F2928" s="637"/>
      <c r="G2928" s="637"/>
      <c r="H2928" s="637"/>
      <c r="I2928" s="637"/>
      <c r="J2928" s="637"/>
    </row>
    <row r="2929" spans="1:10" x14ac:dyDescent="0.2">
      <c r="A2929" s="626"/>
      <c r="B2929" s="637"/>
      <c r="C2929" s="637"/>
      <c r="D2929" s="637"/>
      <c r="E2929" s="637"/>
      <c r="F2929" s="637"/>
      <c r="G2929" s="637"/>
      <c r="H2929" s="637"/>
      <c r="I2929" s="637"/>
      <c r="J2929" s="637"/>
    </row>
    <row r="2930" spans="1:10" x14ac:dyDescent="0.2">
      <c r="A2930" s="626"/>
      <c r="B2930" s="637"/>
      <c r="C2930" s="637"/>
      <c r="D2930" s="637"/>
      <c r="E2930" s="637"/>
      <c r="F2930" s="637"/>
      <c r="G2930" s="637"/>
      <c r="H2930" s="637"/>
      <c r="I2930" s="637"/>
      <c r="J2930" s="637"/>
    </row>
    <row r="2931" spans="1:10" x14ac:dyDescent="0.2">
      <c r="A2931" s="626"/>
      <c r="B2931" s="637"/>
      <c r="C2931" s="637"/>
      <c r="D2931" s="637"/>
      <c r="E2931" s="637"/>
      <c r="F2931" s="637"/>
      <c r="G2931" s="637"/>
      <c r="H2931" s="637"/>
      <c r="I2931" s="637"/>
      <c r="J2931" s="637"/>
    </row>
    <row r="2932" spans="1:10" x14ac:dyDescent="0.2">
      <c r="A2932" s="626"/>
      <c r="B2932" s="637"/>
      <c r="C2932" s="637"/>
      <c r="D2932" s="637"/>
      <c r="E2932" s="637"/>
      <c r="F2932" s="637"/>
      <c r="G2932" s="637"/>
      <c r="H2932" s="637"/>
      <c r="I2932" s="637"/>
      <c r="J2932" s="637"/>
    </row>
    <row r="2933" spans="1:10" x14ac:dyDescent="0.2">
      <c r="A2933" s="626"/>
      <c r="B2933" s="637"/>
      <c r="C2933" s="637"/>
      <c r="D2933" s="637"/>
      <c r="E2933" s="637"/>
      <c r="F2933" s="637"/>
      <c r="G2933" s="637"/>
      <c r="H2933" s="637"/>
      <c r="I2933" s="637"/>
      <c r="J2933" s="637"/>
    </row>
    <row r="2934" spans="1:10" x14ac:dyDescent="0.2">
      <c r="A2934" s="626"/>
      <c r="B2934" s="637"/>
      <c r="C2934" s="637"/>
      <c r="D2934" s="637"/>
      <c r="E2934" s="637"/>
      <c r="F2934" s="637"/>
      <c r="G2934" s="637"/>
      <c r="H2934" s="637"/>
      <c r="I2934" s="637"/>
      <c r="J2934" s="637"/>
    </row>
    <row r="2935" spans="1:10" x14ac:dyDescent="0.2">
      <c r="A2935" s="626"/>
      <c r="B2935" s="637"/>
      <c r="C2935" s="637"/>
      <c r="D2935" s="637"/>
      <c r="E2935" s="637"/>
      <c r="F2935" s="637"/>
      <c r="G2935" s="637"/>
      <c r="H2935" s="637"/>
      <c r="I2935" s="637"/>
      <c r="J2935" s="637"/>
    </row>
    <row r="2936" spans="1:10" x14ac:dyDescent="0.2">
      <c r="A2936" s="626"/>
      <c r="B2936" s="637"/>
      <c r="C2936" s="637"/>
      <c r="D2936" s="637"/>
      <c r="E2936" s="637"/>
      <c r="F2936" s="637"/>
      <c r="G2936" s="637"/>
      <c r="H2936" s="637"/>
      <c r="I2936" s="637"/>
      <c r="J2936" s="637"/>
    </row>
    <row r="2937" spans="1:10" x14ac:dyDescent="0.2">
      <c r="A2937" s="626"/>
      <c r="B2937" s="637"/>
      <c r="C2937" s="637"/>
      <c r="D2937" s="637"/>
      <c r="E2937" s="637"/>
      <c r="F2937" s="637"/>
      <c r="G2937" s="637"/>
      <c r="H2937" s="637"/>
      <c r="I2937" s="637"/>
      <c r="J2937" s="637"/>
    </row>
    <row r="2938" spans="1:10" x14ac:dyDescent="0.2">
      <c r="A2938" s="626"/>
      <c r="B2938" s="637"/>
      <c r="C2938" s="637"/>
      <c r="D2938" s="637"/>
      <c r="E2938" s="637"/>
      <c r="F2938" s="637"/>
      <c r="G2938" s="637"/>
      <c r="H2938" s="637"/>
      <c r="I2938" s="637"/>
      <c r="J2938" s="637"/>
    </row>
    <row r="2939" spans="1:10" x14ac:dyDescent="0.2">
      <c r="A2939" s="626"/>
      <c r="B2939" s="637"/>
      <c r="C2939" s="637"/>
      <c r="D2939" s="637"/>
      <c r="E2939" s="637"/>
      <c r="F2939" s="637"/>
      <c r="G2939" s="637"/>
      <c r="H2939" s="637"/>
      <c r="I2939" s="637"/>
      <c r="J2939" s="637"/>
    </row>
    <row r="2940" spans="1:10" x14ac:dyDescent="0.2">
      <c r="A2940" s="626"/>
      <c r="B2940" s="637"/>
      <c r="C2940" s="637"/>
      <c r="D2940" s="637"/>
      <c r="E2940" s="637"/>
      <c r="F2940" s="637"/>
      <c r="G2940" s="637"/>
      <c r="H2940" s="637"/>
      <c r="I2940" s="637"/>
      <c r="J2940" s="637"/>
    </row>
    <row r="2941" spans="1:10" x14ac:dyDescent="0.2">
      <c r="A2941" s="626"/>
      <c r="B2941" s="637"/>
      <c r="C2941" s="637"/>
      <c r="D2941" s="637"/>
      <c r="E2941" s="637"/>
      <c r="F2941" s="637"/>
      <c r="G2941" s="637"/>
      <c r="H2941" s="637"/>
      <c r="I2941" s="637"/>
      <c r="J2941" s="637"/>
    </row>
    <row r="2942" spans="1:10" x14ac:dyDescent="0.2">
      <c r="A2942" s="626"/>
      <c r="B2942" s="637"/>
      <c r="C2942" s="637"/>
      <c r="D2942" s="637"/>
      <c r="E2942" s="637"/>
      <c r="F2942" s="637"/>
      <c r="G2942" s="637"/>
      <c r="H2942" s="637"/>
      <c r="I2942" s="637"/>
      <c r="J2942" s="637"/>
    </row>
    <row r="2943" spans="1:10" x14ac:dyDescent="0.2">
      <c r="A2943" s="626"/>
      <c r="B2943" s="637"/>
      <c r="C2943" s="637"/>
      <c r="D2943" s="637"/>
      <c r="E2943" s="637"/>
      <c r="F2943" s="637"/>
      <c r="G2943" s="637"/>
      <c r="H2943" s="637"/>
      <c r="I2943" s="637"/>
      <c r="J2943" s="637"/>
    </row>
    <row r="2944" spans="1:10" x14ac:dyDescent="0.2">
      <c r="A2944" s="626"/>
      <c r="B2944" s="637"/>
      <c r="C2944" s="637"/>
      <c r="D2944" s="637"/>
      <c r="E2944" s="637"/>
      <c r="F2944" s="637"/>
      <c r="G2944" s="637"/>
      <c r="H2944" s="637"/>
      <c r="I2944" s="637"/>
      <c r="J2944" s="637"/>
    </row>
    <row r="2945" spans="1:10" x14ac:dyDescent="0.2">
      <c r="A2945" s="626"/>
      <c r="B2945" s="637"/>
      <c r="C2945" s="637"/>
      <c r="D2945" s="637"/>
      <c r="E2945" s="637"/>
      <c r="F2945" s="637"/>
      <c r="G2945" s="637"/>
      <c r="H2945" s="637"/>
      <c r="I2945" s="637"/>
      <c r="J2945" s="637"/>
    </row>
    <row r="2946" spans="1:10" x14ac:dyDescent="0.2">
      <c r="A2946" s="626"/>
      <c r="B2946" s="637"/>
      <c r="C2946" s="637"/>
      <c r="D2946" s="637"/>
      <c r="E2946" s="637"/>
      <c r="F2946" s="637"/>
      <c r="G2946" s="637"/>
      <c r="H2946" s="637"/>
      <c r="I2946" s="637"/>
      <c r="J2946" s="637"/>
    </row>
    <row r="2947" spans="1:10" x14ac:dyDescent="0.2">
      <c r="A2947" s="626"/>
      <c r="B2947" s="637"/>
      <c r="C2947" s="637"/>
      <c r="D2947" s="637"/>
      <c r="E2947" s="637"/>
      <c r="F2947" s="637"/>
      <c r="G2947" s="637"/>
      <c r="H2947" s="637"/>
      <c r="I2947" s="637"/>
      <c r="J2947" s="637"/>
    </row>
    <row r="2948" spans="1:10" x14ac:dyDescent="0.2">
      <c r="A2948" s="626"/>
      <c r="B2948" s="637"/>
      <c r="C2948" s="637"/>
      <c r="D2948" s="637"/>
      <c r="E2948" s="637"/>
      <c r="F2948" s="637"/>
      <c r="G2948" s="637"/>
      <c r="H2948" s="637"/>
      <c r="I2948" s="637"/>
      <c r="J2948" s="637"/>
    </row>
    <row r="2949" spans="1:10" x14ac:dyDescent="0.2">
      <c r="A2949" s="626"/>
      <c r="B2949" s="637"/>
      <c r="C2949" s="637"/>
      <c r="D2949" s="637"/>
      <c r="E2949" s="637"/>
      <c r="F2949" s="637"/>
      <c r="G2949" s="637"/>
      <c r="H2949" s="637"/>
      <c r="I2949" s="637"/>
      <c r="J2949" s="637"/>
    </row>
    <row r="2950" spans="1:10" x14ac:dyDescent="0.2">
      <c r="A2950" s="626"/>
      <c r="B2950" s="637"/>
      <c r="C2950" s="637"/>
      <c r="D2950" s="637"/>
      <c r="E2950" s="637"/>
      <c r="F2950" s="637"/>
      <c r="G2950" s="637"/>
      <c r="H2950" s="637"/>
      <c r="I2950" s="637"/>
      <c r="J2950" s="637"/>
    </row>
    <row r="2951" spans="1:10" x14ac:dyDescent="0.2">
      <c r="A2951" s="626"/>
      <c r="B2951" s="637"/>
      <c r="C2951" s="637"/>
      <c r="D2951" s="637"/>
      <c r="E2951" s="637"/>
      <c r="F2951" s="637"/>
      <c r="G2951" s="637"/>
      <c r="H2951" s="637"/>
      <c r="I2951" s="637"/>
      <c r="J2951" s="637"/>
    </row>
    <row r="2952" spans="1:10" x14ac:dyDescent="0.2">
      <c r="A2952" s="626"/>
      <c r="B2952" s="637"/>
      <c r="C2952" s="637"/>
      <c r="D2952" s="637"/>
      <c r="E2952" s="637"/>
      <c r="F2952" s="637"/>
      <c r="G2952" s="637"/>
      <c r="H2952" s="637"/>
      <c r="I2952" s="637"/>
      <c r="J2952" s="637"/>
    </row>
    <row r="2953" spans="1:10" x14ac:dyDescent="0.2">
      <c r="A2953" s="626"/>
      <c r="B2953" s="637"/>
      <c r="C2953" s="637"/>
      <c r="D2953" s="637"/>
      <c r="E2953" s="637"/>
      <c r="F2953" s="637"/>
      <c r="G2953" s="637"/>
      <c r="H2953" s="637"/>
      <c r="I2953" s="637"/>
      <c r="J2953" s="637"/>
    </row>
    <row r="2954" spans="1:10" x14ac:dyDescent="0.2">
      <c r="A2954" s="626"/>
      <c r="B2954" s="637"/>
      <c r="C2954" s="637"/>
      <c r="D2954" s="637"/>
      <c r="E2954" s="637"/>
      <c r="F2954" s="637"/>
      <c r="G2954" s="637"/>
      <c r="H2954" s="637"/>
      <c r="I2954" s="637"/>
      <c r="J2954" s="637"/>
    </row>
    <row r="2955" spans="1:10" x14ac:dyDescent="0.2">
      <c r="A2955" s="626"/>
      <c r="B2955" s="637"/>
      <c r="C2955" s="637"/>
      <c r="D2955" s="637"/>
      <c r="E2955" s="637"/>
      <c r="F2955" s="637"/>
      <c r="G2955" s="637"/>
      <c r="H2955" s="637"/>
      <c r="I2955" s="637"/>
      <c r="J2955" s="637"/>
    </row>
    <row r="2956" spans="1:10" x14ac:dyDescent="0.2">
      <c r="A2956" s="626"/>
      <c r="B2956" s="637"/>
      <c r="C2956" s="637"/>
      <c r="D2956" s="637"/>
      <c r="E2956" s="637"/>
      <c r="F2956" s="637"/>
      <c r="G2956" s="637"/>
      <c r="H2956" s="637"/>
      <c r="I2956" s="637"/>
      <c r="J2956" s="637"/>
    </row>
    <row r="2957" spans="1:10" x14ac:dyDescent="0.2">
      <c r="A2957" s="626"/>
      <c r="B2957" s="637"/>
      <c r="C2957" s="637"/>
      <c r="D2957" s="637"/>
      <c r="E2957" s="637"/>
      <c r="F2957" s="637"/>
      <c r="G2957" s="637"/>
      <c r="H2957" s="637"/>
      <c r="I2957" s="637"/>
      <c r="J2957" s="637"/>
    </row>
    <row r="2958" spans="1:10" x14ac:dyDescent="0.2">
      <c r="A2958" s="626"/>
      <c r="B2958" s="637"/>
      <c r="C2958" s="637"/>
      <c r="D2958" s="637"/>
      <c r="E2958" s="637"/>
      <c r="F2958" s="637"/>
      <c r="G2958" s="637"/>
      <c r="H2958" s="637"/>
      <c r="I2958" s="637"/>
      <c r="J2958" s="637"/>
    </row>
    <row r="2959" spans="1:10" x14ac:dyDescent="0.2">
      <c r="A2959" s="626"/>
      <c r="B2959" s="637"/>
      <c r="C2959" s="637"/>
      <c r="D2959" s="637"/>
      <c r="E2959" s="637"/>
      <c r="F2959" s="637"/>
      <c r="G2959" s="637"/>
      <c r="H2959" s="637"/>
      <c r="I2959" s="637"/>
      <c r="J2959" s="637"/>
    </row>
    <row r="2960" spans="1:10" x14ac:dyDescent="0.2">
      <c r="A2960" s="626"/>
      <c r="B2960" s="637"/>
      <c r="C2960" s="637"/>
      <c r="D2960" s="637"/>
      <c r="E2960" s="637"/>
      <c r="F2960" s="637"/>
      <c r="G2960" s="637"/>
      <c r="H2960" s="637"/>
      <c r="I2960" s="637"/>
      <c r="J2960" s="637"/>
    </row>
    <row r="2961" spans="1:10" x14ac:dyDescent="0.2">
      <c r="A2961" s="626"/>
      <c r="B2961" s="637"/>
      <c r="C2961" s="637"/>
      <c r="D2961" s="637"/>
      <c r="E2961" s="637"/>
      <c r="F2961" s="637"/>
      <c r="G2961" s="637"/>
      <c r="H2961" s="637"/>
      <c r="I2961" s="637"/>
      <c r="J2961" s="637"/>
    </row>
    <row r="2962" spans="1:10" x14ac:dyDescent="0.2">
      <c r="A2962" s="626"/>
      <c r="B2962" s="637"/>
      <c r="C2962" s="637"/>
      <c r="D2962" s="637"/>
      <c r="E2962" s="637"/>
      <c r="F2962" s="637"/>
      <c r="G2962" s="637"/>
      <c r="H2962" s="637"/>
      <c r="I2962" s="637"/>
      <c r="J2962" s="637"/>
    </row>
    <row r="2963" spans="1:10" x14ac:dyDescent="0.2">
      <c r="A2963" s="626"/>
      <c r="B2963" s="637"/>
      <c r="C2963" s="637"/>
      <c r="D2963" s="637"/>
      <c r="E2963" s="637"/>
      <c r="F2963" s="637"/>
      <c r="G2963" s="637"/>
      <c r="H2963" s="637"/>
      <c r="I2963" s="637"/>
      <c r="J2963" s="637"/>
    </row>
    <row r="2964" spans="1:10" x14ac:dyDescent="0.2">
      <c r="A2964" s="626"/>
      <c r="B2964" s="637"/>
      <c r="C2964" s="637"/>
      <c r="D2964" s="637"/>
      <c r="E2964" s="637"/>
      <c r="F2964" s="637"/>
      <c r="G2964" s="637"/>
      <c r="H2964" s="637"/>
      <c r="I2964" s="637"/>
      <c r="J2964" s="637"/>
    </row>
    <row r="2965" spans="1:10" x14ac:dyDescent="0.2">
      <c r="A2965" s="626"/>
      <c r="B2965" s="637"/>
      <c r="C2965" s="637"/>
      <c r="D2965" s="637"/>
      <c r="E2965" s="637"/>
      <c r="F2965" s="637"/>
      <c r="G2965" s="637"/>
      <c r="H2965" s="637"/>
      <c r="I2965" s="637"/>
      <c r="J2965" s="637"/>
    </row>
    <row r="2966" spans="1:10" x14ac:dyDescent="0.2">
      <c r="A2966" s="626"/>
      <c r="B2966" s="637"/>
      <c r="C2966" s="637"/>
      <c r="D2966" s="637"/>
      <c r="E2966" s="637"/>
      <c r="F2966" s="637"/>
      <c r="G2966" s="637"/>
      <c r="H2966" s="637"/>
      <c r="I2966" s="637"/>
      <c r="J2966" s="637"/>
    </row>
    <row r="2967" spans="1:10" x14ac:dyDescent="0.2">
      <c r="A2967" s="626"/>
      <c r="B2967" s="637"/>
      <c r="C2967" s="637"/>
      <c r="D2967" s="637"/>
      <c r="E2967" s="637"/>
      <c r="F2967" s="637"/>
      <c r="G2967" s="637"/>
      <c r="H2967" s="637"/>
      <c r="I2967" s="637"/>
      <c r="J2967" s="637"/>
    </row>
    <row r="2968" spans="1:10" x14ac:dyDescent="0.2">
      <c r="A2968" s="626"/>
      <c r="B2968" s="637"/>
      <c r="C2968" s="637"/>
      <c r="D2968" s="637"/>
      <c r="E2968" s="637"/>
      <c r="F2968" s="637"/>
      <c r="G2968" s="637"/>
      <c r="H2968" s="637"/>
      <c r="I2968" s="637"/>
      <c r="J2968" s="637"/>
    </row>
    <row r="2969" spans="1:10" x14ac:dyDescent="0.2">
      <c r="A2969" s="626"/>
      <c r="B2969" s="637"/>
      <c r="C2969" s="637"/>
      <c r="D2969" s="637"/>
      <c r="E2969" s="637"/>
      <c r="F2969" s="637"/>
      <c r="G2969" s="637"/>
      <c r="H2969" s="637"/>
      <c r="I2969" s="637"/>
      <c r="J2969" s="637"/>
    </row>
    <row r="2970" spans="1:10" x14ac:dyDescent="0.2">
      <c r="A2970" s="626"/>
      <c r="B2970" s="637"/>
      <c r="C2970" s="637"/>
      <c r="D2970" s="637"/>
      <c r="E2970" s="637"/>
      <c r="F2970" s="637"/>
      <c r="G2970" s="637"/>
      <c r="H2970" s="637"/>
      <c r="I2970" s="637"/>
      <c r="J2970" s="637"/>
    </row>
    <row r="2971" spans="1:10" x14ac:dyDescent="0.2">
      <c r="A2971" s="626"/>
      <c r="B2971" s="637"/>
      <c r="C2971" s="637"/>
      <c r="D2971" s="637"/>
      <c r="E2971" s="637"/>
      <c r="F2971" s="637"/>
      <c r="G2971" s="637"/>
      <c r="H2971" s="637"/>
      <c r="I2971" s="637"/>
      <c r="J2971" s="637"/>
    </row>
    <row r="2972" spans="1:10" x14ac:dyDescent="0.2">
      <c r="A2972" s="626"/>
      <c r="B2972" s="637"/>
      <c r="C2972" s="637"/>
      <c r="D2972" s="637"/>
      <c r="E2972" s="637"/>
      <c r="F2972" s="637"/>
      <c r="G2972" s="637"/>
      <c r="H2972" s="637"/>
      <c r="I2972" s="637"/>
      <c r="J2972" s="637"/>
    </row>
    <row r="2973" spans="1:10" x14ac:dyDescent="0.2">
      <c r="A2973" s="626"/>
      <c r="B2973" s="637"/>
      <c r="C2973" s="637"/>
      <c r="D2973" s="637"/>
      <c r="E2973" s="637"/>
      <c r="F2973" s="637"/>
      <c r="G2973" s="637"/>
      <c r="H2973" s="637"/>
      <c r="I2973" s="637"/>
      <c r="J2973" s="637"/>
    </row>
    <row r="2974" spans="1:10" x14ac:dyDescent="0.2">
      <c r="A2974" s="626"/>
      <c r="B2974" s="637"/>
      <c r="C2974" s="637"/>
      <c r="D2974" s="637"/>
      <c r="E2974" s="637"/>
      <c r="F2974" s="637"/>
      <c r="G2974" s="637"/>
      <c r="H2974" s="637"/>
      <c r="I2974" s="637"/>
      <c r="J2974" s="637"/>
    </row>
    <row r="2975" spans="1:10" x14ac:dyDescent="0.2">
      <c r="A2975" s="626"/>
      <c r="B2975" s="637"/>
      <c r="C2975" s="637"/>
      <c r="D2975" s="637"/>
      <c r="E2975" s="637"/>
      <c r="F2975" s="637"/>
      <c r="G2975" s="637"/>
      <c r="H2975" s="637"/>
      <c r="I2975" s="637"/>
      <c r="J2975" s="637"/>
    </row>
    <row r="2976" spans="1:10" x14ac:dyDescent="0.2">
      <c r="A2976" s="626"/>
      <c r="B2976" s="637"/>
      <c r="C2976" s="637"/>
      <c r="D2976" s="637"/>
      <c r="E2976" s="637"/>
      <c r="F2976" s="637"/>
      <c r="G2976" s="637"/>
      <c r="H2976" s="637"/>
      <c r="I2976" s="637"/>
      <c r="J2976" s="637"/>
    </row>
    <row r="2977" spans="1:10" x14ac:dyDescent="0.2">
      <c r="A2977" s="626"/>
      <c r="B2977" s="637"/>
      <c r="C2977" s="637"/>
      <c r="D2977" s="637"/>
      <c r="E2977" s="637"/>
      <c r="F2977" s="637"/>
      <c r="G2977" s="637"/>
      <c r="H2977" s="637"/>
      <c r="I2977" s="637"/>
      <c r="J2977" s="637"/>
    </row>
    <row r="2978" spans="1:10" x14ac:dyDescent="0.2">
      <c r="A2978" s="626"/>
      <c r="B2978" s="637"/>
      <c r="C2978" s="637"/>
      <c r="D2978" s="637"/>
      <c r="E2978" s="637"/>
      <c r="F2978" s="637"/>
      <c r="G2978" s="637"/>
      <c r="H2978" s="637"/>
      <c r="I2978" s="637"/>
      <c r="J2978" s="637"/>
    </row>
    <row r="2979" spans="1:10" x14ac:dyDescent="0.2">
      <c r="A2979" s="626"/>
      <c r="B2979" s="637"/>
      <c r="C2979" s="637"/>
      <c r="D2979" s="637"/>
      <c r="E2979" s="637"/>
      <c r="F2979" s="637"/>
      <c r="G2979" s="637"/>
      <c r="H2979" s="637"/>
      <c r="I2979" s="637"/>
      <c r="J2979" s="637"/>
    </row>
    <row r="2980" spans="1:10" x14ac:dyDescent="0.2">
      <c r="A2980" s="626"/>
      <c r="B2980" s="637"/>
      <c r="C2980" s="637"/>
      <c r="D2980" s="637"/>
      <c r="E2980" s="637"/>
      <c r="F2980" s="637"/>
      <c r="G2980" s="637"/>
      <c r="H2980" s="637"/>
      <c r="I2980" s="637"/>
      <c r="J2980" s="637"/>
    </row>
    <row r="2981" spans="1:10" x14ac:dyDescent="0.2">
      <c r="A2981" s="626"/>
      <c r="B2981" s="637"/>
      <c r="C2981" s="637"/>
      <c r="D2981" s="637"/>
      <c r="E2981" s="637"/>
      <c r="F2981" s="637"/>
      <c r="G2981" s="637"/>
      <c r="H2981" s="637"/>
      <c r="I2981" s="637"/>
      <c r="J2981" s="637"/>
    </row>
    <row r="2982" spans="1:10" x14ac:dyDescent="0.2">
      <c r="A2982" s="626"/>
      <c r="B2982" s="637"/>
      <c r="C2982" s="637"/>
      <c r="D2982" s="637"/>
      <c r="E2982" s="637"/>
      <c r="F2982" s="637"/>
      <c r="G2982" s="637"/>
      <c r="H2982" s="637"/>
      <c r="I2982" s="637"/>
      <c r="J2982" s="637"/>
    </row>
    <row r="2983" spans="1:10" x14ac:dyDescent="0.2">
      <c r="A2983" s="626"/>
      <c r="B2983" s="637"/>
      <c r="C2983" s="637"/>
      <c r="D2983" s="637"/>
      <c r="E2983" s="637"/>
      <c r="F2983" s="637"/>
      <c r="G2983" s="637"/>
      <c r="H2983" s="637"/>
      <c r="I2983" s="637"/>
      <c r="J2983" s="637"/>
    </row>
    <row r="2984" spans="1:10" x14ac:dyDescent="0.2">
      <c r="A2984" s="626"/>
      <c r="B2984" s="637"/>
      <c r="C2984" s="637"/>
      <c r="D2984" s="637"/>
      <c r="E2984" s="637"/>
      <c r="F2984" s="637"/>
      <c r="G2984" s="637"/>
      <c r="H2984" s="637"/>
      <c r="I2984" s="637"/>
      <c r="J2984" s="637"/>
    </row>
    <row r="2985" spans="1:10" x14ac:dyDescent="0.2">
      <c r="A2985" s="626"/>
      <c r="B2985" s="637"/>
      <c r="C2985" s="637"/>
      <c r="D2985" s="637"/>
      <c r="E2985" s="637"/>
      <c r="F2985" s="637"/>
      <c r="G2985" s="637"/>
      <c r="H2985" s="637"/>
      <c r="I2985" s="637"/>
      <c r="J2985" s="637"/>
    </row>
    <row r="2986" spans="1:10" x14ac:dyDescent="0.2">
      <c r="A2986" s="626"/>
      <c r="B2986" s="637"/>
      <c r="C2986" s="637"/>
      <c r="D2986" s="637"/>
      <c r="E2986" s="637"/>
      <c r="F2986" s="637"/>
      <c r="G2986" s="637"/>
      <c r="H2986" s="637"/>
      <c r="I2986" s="637"/>
      <c r="J2986" s="637"/>
    </row>
    <row r="2987" spans="1:10" x14ac:dyDescent="0.2">
      <c r="A2987" s="626"/>
      <c r="B2987" s="637"/>
      <c r="C2987" s="637"/>
      <c r="D2987" s="637"/>
      <c r="E2987" s="637"/>
      <c r="F2987" s="637"/>
      <c r="G2987" s="637"/>
      <c r="H2987" s="637"/>
      <c r="I2987" s="637"/>
      <c r="J2987" s="637"/>
    </row>
    <row r="2988" spans="1:10" x14ac:dyDescent="0.2">
      <c r="A2988" s="626"/>
      <c r="B2988" s="637"/>
      <c r="C2988" s="637"/>
      <c r="D2988" s="637"/>
      <c r="E2988" s="637"/>
      <c r="F2988" s="637"/>
      <c r="G2988" s="637"/>
      <c r="H2988" s="637"/>
      <c r="I2988" s="637"/>
      <c r="J2988" s="637"/>
    </row>
    <row r="2989" spans="1:10" x14ac:dyDescent="0.2">
      <c r="A2989" s="626"/>
      <c r="B2989" s="637"/>
      <c r="C2989" s="637"/>
      <c r="D2989" s="637"/>
      <c r="E2989" s="637"/>
      <c r="F2989" s="637"/>
      <c r="G2989" s="637"/>
      <c r="H2989" s="637"/>
      <c r="I2989" s="637"/>
      <c r="J2989" s="637"/>
    </row>
    <row r="2990" spans="1:10" x14ac:dyDescent="0.2">
      <c r="A2990" s="626"/>
      <c r="B2990" s="637"/>
      <c r="C2990" s="637"/>
      <c r="D2990" s="637"/>
      <c r="E2990" s="637"/>
      <c r="F2990" s="637"/>
      <c r="G2990" s="637"/>
      <c r="H2990" s="637"/>
      <c r="I2990" s="637"/>
      <c r="J2990" s="637"/>
    </row>
    <row r="2991" spans="1:10" x14ac:dyDescent="0.2">
      <c r="A2991" s="626"/>
      <c r="B2991" s="637"/>
      <c r="C2991" s="637"/>
      <c r="D2991" s="637"/>
      <c r="E2991" s="637"/>
      <c r="F2991" s="637"/>
      <c r="G2991" s="637"/>
      <c r="H2991" s="637"/>
      <c r="I2991" s="637"/>
      <c r="J2991" s="637"/>
    </row>
    <row r="2992" spans="1:10" x14ac:dyDescent="0.2">
      <c r="A2992" s="626"/>
      <c r="B2992" s="637"/>
      <c r="C2992" s="637"/>
      <c r="D2992" s="637"/>
      <c r="E2992" s="637"/>
      <c r="F2992" s="637"/>
      <c r="G2992" s="637"/>
      <c r="H2992" s="637"/>
      <c r="I2992" s="637"/>
      <c r="J2992" s="637"/>
    </row>
    <row r="2993" spans="1:10" x14ac:dyDescent="0.2">
      <c r="A2993" s="626"/>
      <c r="B2993" s="637"/>
      <c r="C2993" s="637"/>
      <c r="D2993" s="637"/>
      <c r="E2993" s="637"/>
      <c r="F2993" s="637"/>
      <c r="G2993" s="637"/>
      <c r="H2993" s="637"/>
      <c r="I2993" s="637"/>
      <c r="J2993" s="637"/>
    </row>
    <row r="2994" spans="1:10" x14ac:dyDescent="0.2">
      <c r="A2994" s="626"/>
      <c r="B2994" s="637"/>
      <c r="C2994" s="637"/>
      <c r="D2994" s="637"/>
      <c r="E2994" s="637"/>
      <c r="F2994" s="637"/>
      <c r="G2994" s="637"/>
      <c r="H2994" s="637"/>
      <c r="I2994" s="637"/>
      <c r="J2994" s="637"/>
    </row>
    <row r="2995" spans="1:10" x14ac:dyDescent="0.2">
      <c r="A2995" s="626"/>
      <c r="B2995" s="637"/>
      <c r="C2995" s="637"/>
      <c r="D2995" s="637"/>
      <c r="E2995" s="637"/>
      <c r="F2995" s="637"/>
      <c r="G2995" s="637"/>
      <c r="H2995" s="637"/>
      <c r="I2995" s="637"/>
      <c r="J2995" s="637"/>
    </row>
    <row r="2996" spans="1:10" x14ac:dyDescent="0.2">
      <c r="A2996" s="626"/>
      <c r="B2996" s="637"/>
      <c r="C2996" s="637"/>
      <c r="D2996" s="637"/>
      <c r="E2996" s="637"/>
      <c r="F2996" s="637"/>
      <c r="G2996" s="637"/>
      <c r="H2996" s="637"/>
      <c r="I2996" s="637"/>
      <c r="J2996" s="637"/>
    </row>
    <row r="2997" spans="1:10" x14ac:dyDescent="0.2">
      <c r="A2997" s="626"/>
      <c r="B2997" s="637"/>
      <c r="C2997" s="637"/>
      <c r="D2997" s="637"/>
      <c r="E2997" s="637"/>
      <c r="F2997" s="637"/>
      <c r="G2997" s="637"/>
      <c r="H2997" s="637"/>
      <c r="I2997" s="637"/>
      <c r="J2997" s="637"/>
    </row>
    <row r="2998" spans="1:10" x14ac:dyDescent="0.2">
      <c r="A2998" s="626"/>
      <c r="B2998" s="637"/>
      <c r="C2998" s="637"/>
      <c r="D2998" s="637"/>
      <c r="E2998" s="637"/>
      <c r="F2998" s="637"/>
      <c r="G2998" s="637"/>
      <c r="H2998" s="637"/>
      <c r="I2998" s="637"/>
      <c r="J2998" s="637"/>
    </row>
    <row r="2999" spans="1:10" x14ac:dyDescent="0.2">
      <c r="A2999" s="626"/>
      <c r="B2999" s="637"/>
      <c r="C2999" s="637"/>
      <c r="D2999" s="637"/>
      <c r="E2999" s="637"/>
      <c r="F2999" s="637"/>
      <c r="G2999" s="637"/>
      <c r="H2999" s="637"/>
      <c r="I2999" s="637"/>
      <c r="J2999" s="637"/>
    </row>
    <row r="3000" spans="1:10" x14ac:dyDescent="0.2">
      <c r="A3000" s="626"/>
      <c r="B3000" s="637"/>
      <c r="C3000" s="637"/>
      <c r="D3000" s="637"/>
      <c r="E3000" s="637"/>
      <c r="F3000" s="637"/>
      <c r="G3000" s="637"/>
      <c r="H3000" s="637"/>
      <c r="I3000" s="637"/>
      <c r="J3000" s="637"/>
    </row>
    <row r="3001" spans="1:10" x14ac:dyDescent="0.2">
      <c r="A3001" s="626"/>
      <c r="B3001" s="637"/>
      <c r="C3001" s="637"/>
      <c r="D3001" s="637"/>
      <c r="E3001" s="637"/>
      <c r="F3001" s="637"/>
      <c r="G3001" s="637"/>
      <c r="H3001" s="637"/>
      <c r="I3001" s="637"/>
      <c r="J3001" s="637"/>
    </row>
    <row r="3002" spans="1:10" x14ac:dyDescent="0.2">
      <c r="A3002" s="626"/>
      <c r="B3002" s="637"/>
      <c r="C3002" s="637"/>
      <c r="D3002" s="637"/>
      <c r="E3002" s="637"/>
      <c r="F3002" s="637"/>
      <c r="G3002" s="637"/>
      <c r="H3002" s="637"/>
      <c r="I3002" s="637"/>
      <c r="J3002" s="637"/>
    </row>
    <row r="3003" spans="1:10" x14ac:dyDescent="0.2">
      <c r="A3003" s="626"/>
      <c r="B3003" s="637"/>
      <c r="C3003" s="637"/>
      <c r="D3003" s="637"/>
      <c r="E3003" s="637"/>
      <c r="F3003" s="637"/>
      <c r="G3003" s="637"/>
      <c r="H3003" s="637"/>
      <c r="I3003" s="637"/>
      <c r="J3003" s="637"/>
    </row>
    <row r="3004" spans="1:10" x14ac:dyDescent="0.2">
      <c r="A3004" s="626"/>
      <c r="B3004" s="637"/>
      <c r="C3004" s="637"/>
      <c r="D3004" s="637"/>
      <c r="E3004" s="637"/>
      <c r="F3004" s="637"/>
      <c r="G3004" s="637"/>
      <c r="H3004" s="637"/>
      <c r="I3004" s="637"/>
      <c r="J3004" s="637"/>
    </row>
    <row r="3005" spans="1:10" x14ac:dyDescent="0.2">
      <c r="A3005" s="626"/>
      <c r="B3005" s="637"/>
      <c r="C3005" s="637"/>
      <c r="D3005" s="637"/>
      <c r="E3005" s="637"/>
      <c r="F3005" s="637"/>
      <c r="G3005" s="637"/>
      <c r="H3005" s="637"/>
      <c r="I3005" s="637"/>
      <c r="J3005" s="637"/>
    </row>
    <row r="3006" spans="1:10" x14ac:dyDescent="0.2">
      <c r="A3006" s="626"/>
      <c r="B3006" s="637"/>
      <c r="C3006" s="637"/>
      <c r="D3006" s="637"/>
      <c r="E3006" s="637"/>
      <c r="F3006" s="637"/>
      <c r="G3006" s="637"/>
      <c r="H3006" s="637"/>
      <c r="I3006" s="637"/>
      <c r="J3006" s="637"/>
    </row>
    <row r="3007" spans="1:10" x14ac:dyDescent="0.2">
      <c r="A3007" s="626"/>
      <c r="B3007" s="637"/>
      <c r="C3007" s="637"/>
      <c r="D3007" s="637"/>
      <c r="E3007" s="637"/>
      <c r="F3007" s="637"/>
      <c r="G3007" s="637"/>
      <c r="H3007" s="637"/>
      <c r="I3007" s="637"/>
      <c r="J3007" s="637"/>
    </row>
    <row r="3008" spans="1:10" x14ac:dyDescent="0.2">
      <c r="A3008" s="626"/>
      <c r="B3008" s="637"/>
      <c r="C3008" s="637"/>
      <c r="D3008" s="637"/>
      <c r="E3008" s="637"/>
      <c r="F3008" s="637"/>
      <c r="G3008" s="637"/>
      <c r="H3008" s="637"/>
      <c r="I3008" s="637"/>
      <c r="J3008" s="637"/>
    </row>
    <row r="3009" spans="1:10" x14ac:dyDescent="0.2">
      <c r="A3009" s="626"/>
      <c r="B3009" s="637"/>
      <c r="C3009" s="637"/>
      <c r="D3009" s="637"/>
      <c r="E3009" s="637"/>
      <c r="F3009" s="637"/>
      <c r="G3009" s="637"/>
      <c r="H3009" s="637"/>
      <c r="I3009" s="637"/>
      <c r="J3009" s="637"/>
    </row>
    <row r="3010" spans="1:10" x14ac:dyDescent="0.2">
      <c r="A3010" s="626"/>
      <c r="B3010" s="637"/>
      <c r="C3010" s="637"/>
      <c r="D3010" s="637"/>
      <c r="E3010" s="637"/>
      <c r="F3010" s="637"/>
      <c r="G3010" s="637"/>
      <c r="H3010" s="637"/>
      <c r="I3010" s="637"/>
      <c r="J3010" s="637"/>
    </row>
    <row r="3011" spans="1:10" x14ac:dyDescent="0.2">
      <c r="A3011" s="626"/>
      <c r="B3011" s="637"/>
      <c r="C3011" s="637"/>
      <c r="D3011" s="637"/>
      <c r="E3011" s="637"/>
      <c r="F3011" s="637"/>
      <c r="G3011" s="637"/>
      <c r="H3011" s="637"/>
      <c r="I3011" s="637"/>
      <c r="J3011" s="637"/>
    </row>
    <row r="3012" spans="1:10" x14ac:dyDescent="0.2">
      <c r="A3012" s="626"/>
      <c r="B3012" s="637"/>
      <c r="C3012" s="637"/>
      <c r="D3012" s="637"/>
      <c r="E3012" s="637"/>
      <c r="F3012" s="637"/>
      <c r="G3012" s="637"/>
      <c r="H3012" s="637"/>
      <c r="I3012" s="637"/>
      <c r="J3012" s="637"/>
    </row>
    <row r="3013" spans="1:10" x14ac:dyDescent="0.2">
      <c r="A3013" s="626"/>
      <c r="B3013" s="637"/>
      <c r="C3013" s="637"/>
      <c r="D3013" s="637"/>
      <c r="E3013" s="637"/>
      <c r="F3013" s="637"/>
      <c r="G3013" s="637"/>
      <c r="H3013" s="637"/>
      <c r="I3013" s="637"/>
      <c r="J3013" s="637"/>
    </row>
    <row r="3014" spans="1:10" x14ac:dyDescent="0.2">
      <c r="A3014" s="626"/>
      <c r="B3014" s="637"/>
      <c r="C3014" s="637"/>
      <c r="D3014" s="637"/>
      <c r="E3014" s="637"/>
      <c r="F3014" s="637"/>
      <c r="G3014" s="637"/>
      <c r="H3014" s="637"/>
      <c r="I3014" s="637"/>
      <c r="J3014" s="637"/>
    </row>
    <row r="3015" spans="1:10" x14ac:dyDescent="0.2">
      <c r="A3015" s="626"/>
      <c r="B3015" s="637"/>
      <c r="C3015" s="637"/>
      <c r="D3015" s="637"/>
      <c r="E3015" s="637"/>
      <c r="F3015" s="637"/>
      <c r="G3015" s="637"/>
      <c r="H3015" s="637"/>
      <c r="I3015" s="637"/>
      <c r="J3015" s="637"/>
    </row>
    <row r="3016" spans="1:10" x14ac:dyDescent="0.2">
      <c r="A3016" s="626"/>
      <c r="B3016" s="637"/>
      <c r="C3016" s="637"/>
      <c r="D3016" s="637"/>
      <c r="E3016" s="637"/>
      <c r="F3016" s="637"/>
      <c r="G3016" s="637"/>
      <c r="H3016" s="637"/>
      <c r="I3016" s="637"/>
      <c r="J3016" s="637"/>
    </row>
    <row r="3017" spans="1:10" x14ac:dyDescent="0.2">
      <c r="A3017" s="626"/>
      <c r="B3017" s="637"/>
      <c r="C3017" s="637"/>
      <c r="D3017" s="637"/>
      <c r="E3017" s="637"/>
      <c r="F3017" s="637"/>
      <c r="G3017" s="637"/>
      <c r="H3017" s="637"/>
      <c r="I3017" s="637"/>
      <c r="J3017" s="637"/>
    </row>
    <row r="3018" spans="1:10" x14ac:dyDescent="0.2">
      <c r="A3018" s="626"/>
      <c r="B3018" s="637"/>
      <c r="C3018" s="637"/>
      <c r="D3018" s="637"/>
      <c r="E3018" s="637"/>
      <c r="F3018" s="637"/>
      <c r="G3018" s="637"/>
      <c r="H3018" s="637"/>
      <c r="I3018" s="637"/>
      <c r="J3018" s="637"/>
    </row>
    <row r="3019" spans="1:10" x14ac:dyDescent="0.2">
      <c r="A3019" s="626"/>
      <c r="B3019" s="637"/>
      <c r="C3019" s="637"/>
      <c r="D3019" s="637"/>
      <c r="E3019" s="637"/>
      <c r="F3019" s="637"/>
      <c r="G3019" s="637"/>
      <c r="H3019" s="637"/>
      <c r="I3019" s="637"/>
      <c r="J3019" s="637"/>
    </row>
    <row r="3020" spans="1:10" x14ac:dyDescent="0.2">
      <c r="A3020" s="626"/>
      <c r="B3020" s="637"/>
      <c r="C3020" s="637"/>
      <c r="D3020" s="637"/>
      <c r="E3020" s="637"/>
      <c r="F3020" s="637"/>
      <c r="G3020" s="637"/>
      <c r="H3020" s="637"/>
      <c r="I3020" s="637"/>
      <c r="J3020" s="637"/>
    </row>
    <row r="3021" spans="1:10" x14ac:dyDescent="0.2">
      <c r="A3021" s="626"/>
      <c r="B3021" s="637"/>
      <c r="C3021" s="637"/>
      <c r="D3021" s="637"/>
      <c r="E3021" s="637"/>
      <c r="F3021" s="637"/>
      <c r="G3021" s="637"/>
      <c r="H3021" s="637"/>
      <c r="I3021" s="637"/>
      <c r="J3021" s="637"/>
    </row>
    <row r="3022" spans="1:10" x14ac:dyDescent="0.2">
      <c r="A3022" s="626"/>
      <c r="B3022" s="637"/>
      <c r="C3022" s="637"/>
      <c r="D3022" s="637"/>
      <c r="E3022" s="637"/>
      <c r="F3022" s="637"/>
      <c r="G3022" s="637"/>
      <c r="H3022" s="637"/>
      <c r="I3022" s="637"/>
      <c r="J3022" s="637"/>
    </row>
    <row r="3023" spans="1:10" x14ac:dyDescent="0.2">
      <c r="A3023" s="626"/>
      <c r="B3023" s="637"/>
      <c r="C3023" s="637"/>
      <c r="D3023" s="637"/>
      <c r="E3023" s="637"/>
      <c r="F3023" s="637"/>
      <c r="G3023" s="637"/>
      <c r="H3023" s="637"/>
      <c r="I3023" s="637"/>
      <c r="J3023" s="637"/>
    </row>
    <row r="3024" spans="1:10" x14ac:dyDescent="0.2">
      <c r="A3024" s="626"/>
      <c r="B3024" s="637"/>
      <c r="C3024" s="637"/>
      <c r="D3024" s="637"/>
      <c r="E3024" s="637"/>
      <c r="F3024" s="637"/>
      <c r="G3024" s="637"/>
      <c r="H3024" s="637"/>
      <c r="I3024" s="637"/>
      <c r="J3024" s="637"/>
    </row>
    <row r="3025" spans="1:10" x14ac:dyDescent="0.2">
      <c r="A3025" s="626"/>
      <c r="B3025" s="637"/>
      <c r="C3025" s="637"/>
      <c r="D3025" s="637"/>
      <c r="E3025" s="637"/>
      <c r="F3025" s="637"/>
      <c r="G3025" s="637"/>
      <c r="H3025" s="637"/>
      <c r="I3025" s="637"/>
      <c r="J3025" s="637"/>
    </row>
    <row r="3026" spans="1:10" x14ac:dyDescent="0.2">
      <c r="A3026" s="626"/>
      <c r="B3026" s="637"/>
      <c r="C3026" s="637"/>
      <c r="D3026" s="637"/>
      <c r="E3026" s="637"/>
      <c r="F3026" s="637"/>
      <c r="G3026" s="637"/>
      <c r="H3026" s="637"/>
      <c r="I3026" s="637"/>
      <c r="J3026" s="637"/>
    </row>
    <row r="3027" spans="1:10" x14ac:dyDescent="0.2">
      <c r="A3027" s="626"/>
      <c r="B3027" s="637"/>
      <c r="C3027" s="637"/>
      <c r="D3027" s="637"/>
      <c r="E3027" s="637"/>
      <c r="F3027" s="637"/>
      <c r="G3027" s="637"/>
      <c r="H3027" s="637"/>
      <c r="I3027" s="637"/>
      <c r="J3027" s="637"/>
    </row>
    <row r="3028" spans="1:10" x14ac:dyDescent="0.2">
      <c r="A3028" s="626"/>
      <c r="B3028" s="637"/>
      <c r="C3028" s="637"/>
      <c r="D3028" s="637"/>
      <c r="E3028" s="637"/>
      <c r="F3028" s="637"/>
      <c r="G3028" s="637"/>
      <c r="H3028" s="637"/>
      <c r="I3028" s="637"/>
      <c r="J3028" s="637"/>
    </row>
    <row r="3029" spans="1:10" x14ac:dyDescent="0.2">
      <c r="A3029" s="626"/>
      <c r="B3029" s="637"/>
      <c r="C3029" s="637"/>
      <c r="D3029" s="637"/>
      <c r="E3029" s="637"/>
      <c r="F3029" s="637"/>
      <c r="G3029" s="637"/>
      <c r="H3029" s="637"/>
      <c r="I3029" s="637"/>
      <c r="J3029" s="637"/>
    </row>
    <row r="3030" spans="1:10" x14ac:dyDescent="0.2">
      <c r="A3030" s="626"/>
      <c r="B3030" s="637"/>
      <c r="C3030" s="637"/>
      <c r="D3030" s="637"/>
      <c r="E3030" s="637"/>
      <c r="F3030" s="637"/>
      <c r="G3030" s="637"/>
      <c r="H3030" s="637"/>
      <c r="I3030" s="637"/>
      <c r="J3030" s="637"/>
    </row>
    <row r="3031" spans="1:10" x14ac:dyDescent="0.2">
      <c r="A3031" s="626"/>
      <c r="B3031" s="637"/>
      <c r="C3031" s="637"/>
      <c r="D3031" s="637"/>
      <c r="E3031" s="637"/>
      <c r="F3031" s="637"/>
      <c r="G3031" s="637"/>
      <c r="H3031" s="637"/>
      <c r="I3031" s="637"/>
      <c r="J3031" s="637"/>
    </row>
    <row r="3032" spans="1:10" x14ac:dyDescent="0.2">
      <c r="A3032" s="626"/>
      <c r="B3032" s="637"/>
      <c r="C3032" s="637"/>
      <c r="D3032" s="637"/>
      <c r="E3032" s="637"/>
      <c r="F3032" s="637"/>
      <c r="G3032" s="637"/>
      <c r="H3032" s="637"/>
      <c r="I3032" s="637"/>
      <c r="J3032" s="637"/>
    </row>
    <row r="3033" spans="1:10" x14ac:dyDescent="0.2">
      <c r="A3033" s="626"/>
      <c r="B3033" s="637"/>
      <c r="C3033" s="637"/>
      <c r="D3033" s="637"/>
      <c r="E3033" s="637"/>
      <c r="F3033" s="637"/>
      <c r="G3033" s="637"/>
      <c r="H3033" s="637"/>
      <c r="I3033" s="637"/>
      <c r="J3033" s="637"/>
    </row>
    <row r="3034" spans="1:10" x14ac:dyDescent="0.2">
      <c r="A3034" s="626"/>
      <c r="B3034" s="637"/>
      <c r="C3034" s="637"/>
      <c r="D3034" s="637"/>
      <c r="E3034" s="637"/>
      <c r="F3034" s="637"/>
      <c r="G3034" s="637"/>
      <c r="H3034" s="637"/>
      <c r="I3034" s="637"/>
      <c r="J3034" s="637"/>
    </row>
    <row r="3035" spans="1:10" x14ac:dyDescent="0.2">
      <c r="A3035" s="626"/>
      <c r="B3035" s="637"/>
      <c r="C3035" s="637"/>
      <c r="D3035" s="637"/>
      <c r="E3035" s="637"/>
      <c r="F3035" s="637"/>
      <c r="G3035" s="637"/>
      <c r="H3035" s="637"/>
      <c r="I3035" s="637"/>
      <c r="J3035" s="637"/>
    </row>
    <row r="3036" spans="1:10" x14ac:dyDescent="0.2">
      <c r="A3036" s="626"/>
      <c r="B3036" s="637"/>
      <c r="C3036" s="637"/>
      <c r="D3036" s="637"/>
      <c r="E3036" s="637"/>
      <c r="F3036" s="637"/>
      <c r="G3036" s="637"/>
      <c r="H3036" s="637"/>
      <c r="I3036" s="637"/>
      <c r="J3036" s="637"/>
    </row>
    <row r="3037" spans="1:10" x14ac:dyDescent="0.2">
      <c r="A3037" s="626"/>
      <c r="B3037" s="637"/>
      <c r="C3037" s="637"/>
      <c r="D3037" s="637"/>
      <c r="E3037" s="637"/>
      <c r="F3037" s="637"/>
      <c r="G3037" s="637"/>
      <c r="H3037" s="637"/>
      <c r="I3037" s="637"/>
      <c r="J3037" s="637"/>
    </row>
    <row r="3038" spans="1:10" x14ac:dyDescent="0.2">
      <c r="A3038" s="626"/>
      <c r="B3038" s="637"/>
      <c r="C3038" s="637"/>
      <c r="D3038" s="637"/>
      <c r="E3038" s="637"/>
      <c r="F3038" s="637"/>
      <c r="G3038" s="637"/>
      <c r="H3038" s="637"/>
      <c r="I3038" s="637"/>
      <c r="J3038" s="637"/>
    </row>
    <row r="3039" spans="1:10" x14ac:dyDescent="0.2">
      <c r="A3039" s="626"/>
      <c r="B3039" s="637"/>
      <c r="C3039" s="637"/>
      <c r="D3039" s="637"/>
      <c r="E3039" s="637"/>
      <c r="F3039" s="637"/>
      <c r="G3039" s="637"/>
      <c r="H3039" s="637"/>
      <c r="I3039" s="637"/>
      <c r="J3039" s="637"/>
    </row>
    <row r="3040" spans="1:10" x14ac:dyDescent="0.2">
      <c r="A3040" s="626"/>
      <c r="B3040" s="637"/>
      <c r="C3040" s="637"/>
      <c r="D3040" s="637"/>
      <c r="E3040" s="637"/>
      <c r="F3040" s="637"/>
      <c r="G3040" s="637"/>
      <c r="H3040" s="637"/>
      <c r="I3040" s="637"/>
      <c r="J3040" s="637"/>
    </row>
    <row r="3041" spans="1:10" x14ac:dyDescent="0.2">
      <c r="A3041" s="626"/>
      <c r="B3041" s="637"/>
      <c r="C3041" s="637"/>
      <c r="D3041" s="637"/>
      <c r="E3041" s="637"/>
      <c r="F3041" s="637"/>
      <c r="G3041" s="637"/>
      <c r="H3041" s="637"/>
      <c r="I3041" s="637"/>
      <c r="J3041" s="637"/>
    </row>
    <row r="3042" spans="1:10" x14ac:dyDescent="0.2">
      <c r="A3042" s="626"/>
      <c r="B3042" s="637"/>
      <c r="C3042" s="637"/>
      <c r="D3042" s="637"/>
      <c r="E3042" s="637"/>
      <c r="F3042" s="637"/>
      <c r="G3042" s="637"/>
      <c r="H3042" s="637"/>
      <c r="I3042" s="637"/>
      <c r="J3042" s="637"/>
    </row>
    <row r="3043" spans="1:10" x14ac:dyDescent="0.2">
      <c r="A3043" s="626"/>
      <c r="B3043" s="637"/>
      <c r="C3043" s="637"/>
      <c r="D3043" s="637"/>
      <c r="E3043" s="637"/>
      <c r="F3043" s="637"/>
      <c r="G3043" s="637"/>
      <c r="H3043" s="637"/>
      <c r="I3043" s="637"/>
      <c r="J3043" s="637"/>
    </row>
    <row r="3044" spans="1:10" x14ac:dyDescent="0.2">
      <c r="A3044" s="626"/>
      <c r="B3044" s="637"/>
      <c r="C3044" s="637"/>
      <c r="D3044" s="637"/>
      <c r="E3044" s="637"/>
      <c r="F3044" s="637"/>
      <c r="G3044" s="637"/>
      <c r="H3044" s="637"/>
      <c r="I3044" s="637"/>
      <c r="J3044" s="637"/>
    </row>
    <row r="3045" spans="1:10" x14ac:dyDescent="0.2">
      <c r="A3045" s="626"/>
      <c r="B3045" s="637"/>
      <c r="C3045" s="637"/>
      <c r="D3045" s="637"/>
      <c r="E3045" s="637"/>
      <c r="F3045" s="637"/>
      <c r="G3045" s="637"/>
      <c r="H3045" s="637"/>
      <c r="I3045" s="637"/>
      <c r="J3045" s="637"/>
    </row>
    <row r="3046" spans="1:10" x14ac:dyDescent="0.2">
      <c r="A3046" s="626"/>
      <c r="B3046" s="637"/>
      <c r="C3046" s="637"/>
      <c r="D3046" s="637"/>
      <c r="E3046" s="637"/>
      <c r="F3046" s="637"/>
      <c r="G3046" s="637"/>
      <c r="H3046" s="637"/>
      <c r="I3046" s="637"/>
      <c r="J3046" s="637"/>
    </row>
    <row r="3047" spans="1:10" x14ac:dyDescent="0.2">
      <c r="A3047" s="626"/>
      <c r="B3047" s="637"/>
      <c r="C3047" s="637"/>
      <c r="D3047" s="637"/>
      <c r="E3047" s="637"/>
      <c r="F3047" s="637"/>
      <c r="G3047" s="637"/>
      <c r="H3047" s="637"/>
      <c r="I3047" s="637"/>
      <c r="J3047" s="637"/>
    </row>
    <row r="3048" spans="1:10" x14ac:dyDescent="0.2">
      <c r="A3048" s="626"/>
      <c r="B3048" s="637"/>
      <c r="C3048" s="637"/>
      <c r="D3048" s="637"/>
      <c r="E3048" s="637"/>
      <c r="F3048" s="637"/>
      <c r="G3048" s="637"/>
      <c r="H3048" s="637"/>
      <c r="I3048" s="637"/>
      <c r="J3048" s="637"/>
    </row>
    <row r="3049" spans="1:10" x14ac:dyDescent="0.2">
      <c r="A3049" s="626"/>
      <c r="B3049" s="637"/>
      <c r="C3049" s="637"/>
      <c r="D3049" s="637"/>
      <c r="E3049" s="637"/>
      <c r="F3049" s="637"/>
      <c r="G3049" s="637"/>
      <c r="H3049" s="637"/>
      <c r="I3049" s="637"/>
      <c r="J3049" s="637"/>
    </row>
    <row r="3050" spans="1:10" x14ac:dyDescent="0.2">
      <c r="A3050" s="626"/>
      <c r="B3050" s="637"/>
      <c r="C3050" s="637"/>
      <c r="D3050" s="637"/>
      <c r="E3050" s="637"/>
      <c r="F3050" s="637"/>
      <c r="G3050" s="637"/>
      <c r="H3050" s="637"/>
      <c r="I3050" s="637"/>
      <c r="J3050" s="637"/>
    </row>
    <row r="3051" spans="1:10" x14ac:dyDescent="0.2">
      <c r="A3051" s="626"/>
      <c r="B3051" s="637"/>
      <c r="C3051" s="637"/>
      <c r="D3051" s="637"/>
      <c r="E3051" s="637"/>
      <c r="F3051" s="637"/>
      <c r="G3051" s="637"/>
      <c r="H3051" s="637"/>
      <c r="I3051" s="637"/>
      <c r="J3051" s="637"/>
    </row>
    <row r="3052" spans="1:10" x14ac:dyDescent="0.2">
      <c r="A3052" s="626"/>
      <c r="B3052" s="637"/>
      <c r="C3052" s="637"/>
      <c r="D3052" s="637"/>
      <c r="E3052" s="637"/>
      <c r="F3052" s="637"/>
      <c r="G3052" s="637"/>
      <c r="H3052" s="637"/>
      <c r="I3052" s="637"/>
      <c r="J3052" s="637"/>
    </row>
    <row r="3053" spans="1:10" x14ac:dyDescent="0.2">
      <c r="A3053" s="626"/>
      <c r="B3053" s="637"/>
      <c r="C3053" s="637"/>
      <c r="D3053" s="637"/>
      <c r="E3053" s="637"/>
      <c r="F3053" s="637"/>
      <c r="G3053" s="637"/>
      <c r="H3053" s="637"/>
      <c r="I3053" s="637"/>
      <c r="J3053" s="637"/>
    </row>
    <row r="3054" spans="1:10" x14ac:dyDescent="0.2">
      <c r="A3054" s="626"/>
      <c r="B3054" s="637"/>
      <c r="C3054" s="637"/>
      <c r="D3054" s="637"/>
      <c r="E3054" s="637"/>
      <c r="F3054" s="637"/>
      <c r="G3054" s="637"/>
      <c r="H3054" s="637"/>
      <c r="I3054" s="637"/>
      <c r="J3054" s="637"/>
    </row>
    <row r="3055" spans="1:10" x14ac:dyDescent="0.2">
      <c r="A3055" s="626"/>
      <c r="B3055" s="637"/>
      <c r="C3055" s="637"/>
      <c r="D3055" s="637"/>
      <c r="E3055" s="637"/>
      <c r="F3055" s="637"/>
      <c r="G3055" s="637"/>
      <c r="H3055" s="637"/>
      <c r="I3055" s="637"/>
      <c r="J3055" s="637"/>
    </row>
    <row r="3056" spans="1:10" x14ac:dyDescent="0.2">
      <c r="A3056" s="626"/>
      <c r="B3056" s="637"/>
      <c r="C3056" s="637"/>
      <c r="D3056" s="637"/>
      <c r="E3056" s="637"/>
      <c r="F3056" s="637"/>
      <c r="G3056" s="637"/>
      <c r="H3056" s="637"/>
      <c r="I3056" s="637"/>
      <c r="J3056" s="637"/>
    </row>
    <row r="3057" spans="1:10" x14ac:dyDescent="0.2">
      <c r="A3057" s="626"/>
      <c r="B3057" s="637"/>
      <c r="C3057" s="637"/>
      <c r="D3057" s="637"/>
      <c r="E3057" s="637"/>
      <c r="F3057" s="637"/>
      <c r="G3057" s="637"/>
      <c r="H3057" s="637"/>
      <c r="I3057" s="637"/>
      <c r="J3057" s="637"/>
    </row>
    <row r="3058" spans="1:10" x14ac:dyDescent="0.2">
      <c r="A3058" s="626"/>
      <c r="B3058" s="637"/>
      <c r="C3058" s="637"/>
      <c r="D3058" s="637"/>
      <c r="E3058" s="637"/>
      <c r="F3058" s="637"/>
      <c r="G3058" s="637"/>
      <c r="H3058" s="637"/>
      <c r="I3058" s="637"/>
      <c r="J3058" s="637"/>
    </row>
    <row r="3059" spans="1:10" x14ac:dyDescent="0.2">
      <c r="A3059" s="626"/>
      <c r="B3059" s="637"/>
      <c r="C3059" s="637"/>
      <c r="D3059" s="637"/>
      <c r="E3059" s="637"/>
      <c r="F3059" s="637"/>
      <c r="G3059" s="637"/>
      <c r="H3059" s="637"/>
      <c r="I3059" s="637"/>
      <c r="J3059" s="637"/>
    </row>
    <row r="3060" spans="1:10" x14ac:dyDescent="0.2">
      <c r="A3060" s="626"/>
      <c r="B3060" s="637"/>
      <c r="C3060" s="637"/>
      <c r="D3060" s="637"/>
      <c r="E3060" s="637"/>
      <c r="F3060" s="637"/>
      <c r="G3060" s="637"/>
      <c r="H3060" s="637"/>
      <c r="I3060" s="637"/>
      <c r="J3060" s="637"/>
    </row>
    <row r="3061" spans="1:10" x14ac:dyDescent="0.2">
      <c r="A3061" s="626"/>
      <c r="B3061" s="637"/>
      <c r="C3061" s="637"/>
      <c r="D3061" s="637"/>
      <c r="E3061" s="637"/>
      <c r="F3061" s="637"/>
      <c r="G3061" s="637"/>
      <c r="H3061" s="637"/>
      <c r="I3061" s="637"/>
      <c r="J3061" s="637"/>
    </row>
    <row r="3062" spans="1:10" x14ac:dyDescent="0.2">
      <c r="A3062" s="626"/>
      <c r="B3062" s="637"/>
      <c r="C3062" s="637"/>
      <c r="D3062" s="637"/>
      <c r="E3062" s="637"/>
      <c r="F3062" s="637"/>
      <c r="G3062" s="637"/>
      <c r="H3062" s="637"/>
      <c r="I3062" s="637"/>
      <c r="J3062" s="637"/>
    </row>
    <row r="3063" spans="1:10" x14ac:dyDescent="0.2">
      <c r="A3063" s="626"/>
      <c r="B3063" s="637"/>
      <c r="C3063" s="637"/>
      <c r="D3063" s="637"/>
      <c r="E3063" s="637"/>
      <c r="F3063" s="637"/>
      <c r="G3063" s="637"/>
      <c r="H3063" s="637"/>
      <c r="I3063" s="637"/>
      <c r="J3063" s="637"/>
    </row>
    <row r="3064" spans="1:10" x14ac:dyDescent="0.2">
      <c r="A3064" s="626"/>
      <c r="B3064" s="637"/>
      <c r="C3064" s="637"/>
      <c r="D3064" s="637"/>
      <c r="E3064" s="637"/>
      <c r="F3064" s="637"/>
      <c r="G3064" s="637"/>
      <c r="H3064" s="637"/>
      <c r="I3064" s="637"/>
      <c r="J3064" s="637"/>
    </row>
    <row r="3065" spans="1:10" x14ac:dyDescent="0.2">
      <c r="A3065" s="626"/>
      <c r="B3065" s="637"/>
      <c r="C3065" s="637"/>
      <c r="D3065" s="637"/>
      <c r="E3065" s="637"/>
      <c r="F3065" s="637"/>
      <c r="G3065" s="637"/>
      <c r="H3065" s="637"/>
      <c r="I3065" s="637"/>
      <c r="J3065" s="637"/>
    </row>
    <row r="3066" spans="1:10" x14ac:dyDescent="0.2">
      <c r="A3066" s="626"/>
      <c r="B3066" s="637"/>
      <c r="C3066" s="637"/>
      <c r="D3066" s="637"/>
      <c r="E3066" s="637"/>
      <c r="F3066" s="637"/>
      <c r="G3066" s="637"/>
      <c r="H3066" s="637"/>
      <c r="I3066" s="637"/>
      <c r="J3066" s="637"/>
    </row>
    <row r="3067" spans="1:10" x14ac:dyDescent="0.2">
      <c r="A3067" s="626"/>
      <c r="B3067" s="637"/>
      <c r="C3067" s="637"/>
      <c r="D3067" s="637"/>
      <c r="E3067" s="637"/>
      <c r="F3067" s="637"/>
      <c r="G3067" s="637"/>
      <c r="H3067" s="637"/>
      <c r="I3067" s="637"/>
      <c r="J3067" s="637"/>
    </row>
    <row r="3068" spans="1:10" x14ac:dyDescent="0.2">
      <c r="A3068" s="626"/>
      <c r="B3068" s="637"/>
      <c r="C3068" s="637"/>
      <c r="D3068" s="637"/>
      <c r="E3068" s="637"/>
      <c r="F3068" s="637"/>
      <c r="G3068" s="637"/>
      <c r="H3068" s="637"/>
      <c r="I3068" s="637"/>
      <c r="J3068" s="637"/>
    </row>
    <row r="3069" spans="1:10" x14ac:dyDescent="0.2">
      <c r="A3069" s="626"/>
      <c r="B3069" s="637"/>
      <c r="C3069" s="637"/>
      <c r="D3069" s="637"/>
      <c r="E3069" s="637"/>
      <c r="F3069" s="637"/>
      <c r="G3069" s="637"/>
      <c r="H3069" s="637"/>
      <c r="I3069" s="637"/>
      <c r="J3069" s="637"/>
    </row>
    <row r="3070" spans="1:10" x14ac:dyDescent="0.2">
      <c r="A3070" s="626"/>
      <c r="B3070" s="637"/>
      <c r="C3070" s="637"/>
      <c r="D3070" s="637"/>
      <c r="E3070" s="637"/>
      <c r="F3070" s="637"/>
      <c r="G3070" s="637"/>
      <c r="H3070" s="637"/>
      <c r="I3070" s="637"/>
      <c r="J3070" s="637"/>
    </row>
    <row r="3071" spans="1:10" x14ac:dyDescent="0.2">
      <c r="A3071" s="626"/>
      <c r="B3071" s="637"/>
      <c r="C3071" s="637"/>
      <c r="D3071" s="637"/>
      <c r="E3071" s="637"/>
      <c r="F3071" s="637"/>
      <c r="G3071" s="637"/>
      <c r="H3071" s="637"/>
      <c r="I3071" s="637"/>
      <c r="J3071" s="637"/>
    </row>
    <row r="3072" spans="1:10" x14ac:dyDescent="0.2">
      <c r="A3072" s="626"/>
      <c r="B3072" s="637"/>
      <c r="C3072" s="637"/>
      <c r="D3072" s="637"/>
      <c r="E3072" s="637"/>
      <c r="F3072" s="637"/>
      <c r="G3072" s="637"/>
      <c r="H3072" s="637"/>
      <c r="I3072" s="637"/>
      <c r="J3072" s="637"/>
    </row>
    <row r="3073" spans="1:10" x14ac:dyDescent="0.2">
      <c r="A3073" s="626"/>
      <c r="B3073" s="637"/>
      <c r="C3073" s="637"/>
      <c r="D3073" s="637"/>
      <c r="E3073" s="637"/>
      <c r="F3073" s="637"/>
      <c r="G3073" s="637"/>
      <c r="H3073" s="637"/>
      <c r="I3073" s="637"/>
      <c r="J3073" s="637"/>
    </row>
    <row r="3074" spans="1:10" x14ac:dyDescent="0.2">
      <c r="A3074" s="626"/>
      <c r="B3074" s="637"/>
      <c r="C3074" s="637"/>
      <c r="D3074" s="637"/>
      <c r="E3074" s="637"/>
      <c r="F3074" s="637"/>
      <c r="G3074" s="637"/>
      <c r="H3074" s="637"/>
      <c r="I3074" s="637"/>
      <c r="J3074" s="637"/>
    </row>
    <row r="3075" spans="1:10" x14ac:dyDescent="0.2">
      <c r="A3075" s="626"/>
      <c r="B3075" s="637"/>
      <c r="C3075" s="637"/>
      <c r="D3075" s="637"/>
      <c r="E3075" s="637"/>
      <c r="F3075" s="637"/>
      <c r="G3075" s="637"/>
      <c r="H3075" s="637"/>
      <c r="I3075" s="637"/>
      <c r="J3075" s="637"/>
    </row>
    <row r="3076" spans="1:10" x14ac:dyDescent="0.2">
      <c r="A3076" s="626"/>
      <c r="B3076" s="637"/>
      <c r="C3076" s="637"/>
      <c r="D3076" s="637"/>
      <c r="E3076" s="637"/>
      <c r="F3076" s="637"/>
      <c r="G3076" s="637"/>
      <c r="H3076" s="637"/>
      <c r="I3076" s="637"/>
      <c r="J3076" s="637"/>
    </row>
    <row r="3077" spans="1:10" x14ac:dyDescent="0.2">
      <c r="A3077" s="626"/>
      <c r="B3077" s="637"/>
      <c r="C3077" s="637"/>
      <c r="D3077" s="637"/>
      <c r="E3077" s="637"/>
      <c r="F3077" s="637"/>
      <c r="G3077" s="637"/>
      <c r="H3077" s="637"/>
      <c r="I3077" s="637"/>
      <c r="J3077" s="637"/>
    </row>
    <row r="3078" spans="1:10" x14ac:dyDescent="0.2">
      <c r="A3078" s="626"/>
      <c r="B3078" s="637"/>
      <c r="C3078" s="637"/>
      <c r="D3078" s="637"/>
      <c r="E3078" s="637"/>
      <c r="F3078" s="637"/>
      <c r="G3078" s="637"/>
      <c r="H3078" s="637"/>
      <c r="I3078" s="637"/>
      <c r="J3078" s="637"/>
    </row>
    <row r="3079" spans="1:10" x14ac:dyDescent="0.2">
      <c r="A3079" s="626"/>
      <c r="B3079" s="637"/>
      <c r="C3079" s="637"/>
      <c r="D3079" s="637"/>
      <c r="E3079" s="637"/>
      <c r="F3079" s="637"/>
      <c r="G3079" s="637"/>
      <c r="H3079" s="637"/>
      <c r="I3079" s="637"/>
      <c r="J3079" s="637"/>
    </row>
    <row r="3080" spans="1:10" x14ac:dyDescent="0.2">
      <c r="A3080" s="626"/>
      <c r="B3080" s="637"/>
      <c r="C3080" s="637"/>
      <c r="D3080" s="637"/>
      <c r="E3080" s="637"/>
      <c r="F3080" s="637"/>
      <c r="G3080" s="637"/>
      <c r="H3080" s="637"/>
      <c r="I3080" s="637"/>
      <c r="J3080" s="637"/>
    </row>
    <row r="3081" spans="1:10" x14ac:dyDescent="0.2">
      <c r="A3081" s="626"/>
      <c r="B3081" s="637"/>
      <c r="C3081" s="637"/>
      <c r="D3081" s="637"/>
      <c r="E3081" s="637"/>
      <c r="F3081" s="637"/>
      <c r="G3081" s="637"/>
      <c r="H3081" s="637"/>
      <c r="I3081" s="637"/>
      <c r="J3081" s="637"/>
    </row>
    <row r="3082" spans="1:10" x14ac:dyDescent="0.2">
      <c r="A3082" s="626"/>
      <c r="B3082" s="637"/>
      <c r="C3082" s="637"/>
      <c r="D3082" s="637"/>
      <c r="E3082" s="637"/>
      <c r="F3082" s="637"/>
      <c r="G3082" s="637"/>
      <c r="H3082" s="637"/>
      <c r="I3082" s="637"/>
      <c r="J3082" s="637"/>
    </row>
    <row r="3083" spans="1:10" x14ac:dyDescent="0.2">
      <c r="A3083" s="626"/>
      <c r="B3083" s="637"/>
      <c r="C3083" s="637"/>
      <c r="D3083" s="637"/>
      <c r="E3083" s="637"/>
      <c r="F3083" s="637"/>
      <c r="G3083" s="637"/>
      <c r="H3083" s="637"/>
      <c r="I3083" s="637"/>
      <c r="J3083" s="637"/>
    </row>
    <row r="3084" spans="1:10" x14ac:dyDescent="0.2">
      <c r="A3084" s="626"/>
      <c r="B3084" s="637"/>
      <c r="C3084" s="637"/>
      <c r="D3084" s="637"/>
      <c r="E3084" s="637"/>
      <c r="F3084" s="637"/>
      <c r="G3084" s="637"/>
      <c r="H3084" s="637"/>
      <c r="I3084" s="637"/>
      <c r="J3084" s="637"/>
    </row>
    <row r="3085" spans="1:10" x14ac:dyDescent="0.2">
      <c r="A3085" s="626"/>
      <c r="B3085" s="637"/>
      <c r="C3085" s="637"/>
      <c r="D3085" s="637"/>
      <c r="E3085" s="637"/>
      <c r="F3085" s="637"/>
      <c r="G3085" s="637"/>
      <c r="H3085" s="637"/>
      <c r="I3085" s="637"/>
      <c r="J3085" s="637"/>
    </row>
    <row r="3086" spans="1:10" x14ac:dyDescent="0.2">
      <c r="A3086" s="626"/>
      <c r="B3086" s="637"/>
      <c r="C3086" s="637"/>
      <c r="D3086" s="637"/>
      <c r="E3086" s="637"/>
      <c r="F3086" s="637"/>
      <c r="G3086" s="637"/>
      <c r="H3086" s="637"/>
      <c r="I3086" s="637"/>
      <c r="J3086" s="637"/>
    </row>
    <row r="3087" spans="1:10" x14ac:dyDescent="0.2">
      <c r="A3087" s="626"/>
      <c r="B3087" s="637"/>
      <c r="C3087" s="637"/>
      <c r="D3087" s="637"/>
      <c r="E3087" s="637"/>
      <c r="F3087" s="637"/>
      <c r="G3087" s="637"/>
      <c r="H3087" s="637"/>
      <c r="I3087" s="637"/>
      <c r="J3087" s="637"/>
    </row>
    <row r="3088" spans="1:10" x14ac:dyDescent="0.2">
      <c r="A3088" s="626"/>
      <c r="B3088" s="637"/>
      <c r="C3088" s="637"/>
      <c r="D3088" s="637"/>
      <c r="E3088" s="637"/>
      <c r="F3088" s="637"/>
      <c r="G3088" s="637"/>
      <c r="H3088" s="637"/>
      <c r="I3088" s="637"/>
      <c r="J3088" s="637"/>
    </row>
    <row r="3089" spans="1:10" x14ac:dyDescent="0.2">
      <c r="A3089" s="626"/>
      <c r="B3089" s="637"/>
      <c r="C3089" s="637"/>
      <c r="D3089" s="637"/>
      <c r="E3089" s="637"/>
      <c r="F3089" s="637"/>
      <c r="G3089" s="637"/>
      <c r="H3089" s="637"/>
      <c r="I3089" s="637"/>
      <c r="J3089" s="637"/>
    </row>
    <row r="3090" spans="1:10" x14ac:dyDescent="0.2">
      <c r="A3090" s="626"/>
      <c r="B3090" s="637"/>
      <c r="C3090" s="637"/>
      <c r="D3090" s="637"/>
      <c r="E3090" s="637"/>
      <c r="F3090" s="637"/>
      <c r="G3090" s="637"/>
      <c r="H3090" s="637"/>
      <c r="I3090" s="637"/>
      <c r="J3090" s="637"/>
    </row>
    <row r="3091" spans="1:10" x14ac:dyDescent="0.2">
      <c r="A3091" s="626"/>
      <c r="B3091" s="637"/>
      <c r="C3091" s="637"/>
      <c r="D3091" s="637"/>
      <c r="E3091" s="637"/>
      <c r="F3091" s="637"/>
      <c r="G3091" s="637"/>
      <c r="H3091" s="637"/>
      <c r="I3091" s="637"/>
      <c r="J3091" s="637"/>
    </row>
    <row r="3092" spans="1:10" x14ac:dyDescent="0.2">
      <c r="A3092" s="626"/>
      <c r="B3092" s="637"/>
      <c r="C3092" s="637"/>
      <c r="D3092" s="637"/>
      <c r="E3092" s="637"/>
      <c r="F3092" s="637"/>
      <c r="G3092" s="637"/>
      <c r="H3092" s="637"/>
      <c r="I3092" s="637"/>
      <c r="J3092" s="637"/>
    </row>
    <row r="3093" spans="1:10" x14ac:dyDescent="0.2">
      <c r="A3093" s="626"/>
      <c r="B3093" s="637"/>
      <c r="C3093" s="637"/>
      <c r="D3093" s="637"/>
      <c r="E3093" s="637"/>
      <c r="F3093" s="637"/>
      <c r="G3093" s="637"/>
      <c r="H3093" s="637"/>
      <c r="I3093" s="637"/>
      <c r="J3093" s="637"/>
    </row>
    <row r="3094" spans="1:10" x14ac:dyDescent="0.2">
      <c r="A3094" s="626"/>
      <c r="B3094" s="637"/>
      <c r="C3094" s="637"/>
      <c r="D3094" s="637"/>
      <c r="E3094" s="637"/>
      <c r="F3094" s="637"/>
      <c r="G3094" s="637"/>
      <c r="H3094" s="637"/>
      <c r="I3094" s="637"/>
      <c r="J3094" s="637"/>
    </row>
    <row r="3095" spans="1:10" x14ac:dyDescent="0.2">
      <c r="A3095" s="626"/>
      <c r="B3095" s="637"/>
      <c r="C3095" s="637"/>
      <c r="D3095" s="637"/>
      <c r="E3095" s="637"/>
      <c r="F3095" s="637"/>
      <c r="G3095" s="637"/>
      <c r="H3095" s="637"/>
      <c r="I3095" s="637"/>
      <c r="J3095" s="637"/>
    </row>
    <row r="3096" spans="1:10" x14ac:dyDescent="0.2">
      <c r="A3096" s="626"/>
      <c r="B3096" s="637"/>
      <c r="C3096" s="637"/>
      <c r="D3096" s="637"/>
      <c r="E3096" s="637"/>
      <c r="F3096" s="637"/>
      <c r="G3096" s="637"/>
      <c r="H3096" s="637"/>
      <c r="I3096" s="637"/>
      <c r="J3096" s="637"/>
    </row>
    <row r="3097" spans="1:10" x14ac:dyDescent="0.2">
      <c r="A3097" s="626"/>
      <c r="B3097" s="637"/>
      <c r="C3097" s="637"/>
      <c r="D3097" s="637"/>
      <c r="E3097" s="637"/>
      <c r="F3097" s="637"/>
      <c r="G3097" s="637"/>
      <c r="H3097" s="637"/>
      <c r="I3097" s="637"/>
      <c r="J3097" s="637"/>
    </row>
    <row r="3098" spans="1:10" x14ac:dyDescent="0.2">
      <c r="A3098" s="626"/>
      <c r="B3098" s="637"/>
      <c r="C3098" s="637"/>
      <c r="D3098" s="637"/>
      <c r="E3098" s="637"/>
      <c r="F3098" s="637"/>
      <c r="G3098" s="637"/>
      <c r="H3098" s="637"/>
      <c r="I3098" s="637"/>
      <c r="J3098" s="637"/>
    </row>
    <row r="3099" spans="1:10" x14ac:dyDescent="0.2">
      <c r="A3099" s="626"/>
      <c r="B3099" s="637"/>
      <c r="C3099" s="637"/>
      <c r="D3099" s="637"/>
      <c r="E3099" s="637"/>
      <c r="F3099" s="637"/>
      <c r="G3099" s="637"/>
      <c r="H3099" s="637"/>
      <c r="I3099" s="637"/>
      <c r="J3099" s="637"/>
    </row>
    <row r="3100" spans="1:10" x14ac:dyDescent="0.2">
      <c r="A3100" s="626"/>
      <c r="B3100" s="637"/>
      <c r="C3100" s="637"/>
      <c r="D3100" s="637"/>
      <c r="E3100" s="637"/>
      <c r="F3100" s="637"/>
      <c r="G3100" s="637"/>
      <c r="H3100" s="637"/>
      <c r="I3100" s="637"/>
      <c r="J3100" s="637"/>
    </row>
    <row r="3101" spans="1:10" x14ac:dyDescent="0.2">
      <c r="A3101" s="626"/>
      <c r="B3101" s="637"/>
      <c r="C3101" s="637"/>
      <c r="D3101" s="637"/>
      <c r="E3101" s="637"/>
      <c r="F3101" s="637"/>
      <c r="G3101" s="637"/>
      <c r="H3101" s="637"/>
      <c r="I3101" s="637"/>
      <c r="J3101" s="637"/>
    </row>
    <row r="3102" spans="1:10" x14ac:dyDescent="0.2">
      <c r="A3102" s="626"/>
      <c r="B3102" s="637"/>
      <c r="C3102" s="637"/>
      <c r="D3102" s="637"/>
      <c r="E3102" s="637"/>
      <c r="F3102" s="637"/>
      <c r="G3102" s="637"/>
      <c r="H3102" s="637"/>
      <c r="I3102" s="637"/>
      <c r="J3102" s="637"/>
    </row>
    <row r="3103" spans="1:10" x14ac:dyDescent="0.2">
      <c r="A3103" s="626"/>
      <c r="B3103" s="637"/>
      <c r="C3103" s="637"/>
      <c r="D3103" s="637"/>
      <c r="E3103" s="637"/>
      <c r="F3103" s="637"/>
      <c r="G3103" s="637"/>
      <c r="H3103" s="637"/>
      <c r="I3103" s="637"/>
      <c r="J3103" s="637"/>
    </row>
    <row r="3104" spans="1:10" x14ac:dyDescent="0.2">
      <c r="A3104" s="626"/>
      <c r="B3104" s="637"/>
      <c r="C3104" s="637"/>
      <c r="D3104" s="637"/>
      <c r="E3104" s="637"/>
      <c r="F3104" s="637"/>
      <c r="G3104" s="637"/>
      <c r="H3104" s="637"/>
      <c r="I3104" s="637"/>
      <c r="J3104" s="637"/>
    </row>
    <row r="3105" spans="1:10" x14ac:dyDescent="0.2">
      <c r="A3105" s="626"/>
      <c r="B3105" s="637"/>
      <c r="C3105" s="637"/>
      <c r="D3105" s="637"/>
      <c r="E3105" s="637"/>
      <c r="F3105" s="637"/>
      <c r="G3105" s="637"/>
      <c r="H3105" s="637"/>
      <c r="I3105" s="637"/>
      <c r="J3105" s="637"/>
    </row>
    <row r="3106" spans="1:10" x14ac:dyDescent="0.2">
      <c r="A3106" s="626"/>
      <c r="B3106" s="637"/>
      <c r="C3106" s="637"/>
      <c r="D3106" s="637"/>
      <c r="E3106" s="637"/>
      <c r="F3106" s="637"/>
      <c r="G3106" s="637"/>
      <c r="H3106" s="637"/>
      <c r="I3106" s="637"/>
      <c r="J3106" s="637"/>
    </row>
    <row r="3107" spans="1:10" x14ac:dyDescent="0.2">
      <c r="A3107" s="626"/>
      <c r="B3107" s="637"/>
      <c r="C3107" s="637"/>
      <c r="D3107" s="637"/>
      <c r="E3107" s="637"/>
      <c r="F3107" s="637"/>
      <c r="G3107" s="637"/>
      <c r="H3107" s="637"/>
      <c r="I3107" s="637"/>
      <c r="J3107" s="637"/>
    </row>
    <row r="3108" spans="1:10" x14ac:dyDescent="0.2">
      <c r="A3108" s="626"/>
      <c r="B3108" s="637"/>
      <c r="C3108" s="637"/>
      <c r="D3108" s="637"/>
      <c r="E3108" s="637"/>
      <c r="F3108" s="637"/>
      <c r="G3108" s="637"/>
      <c r="H3108" s="637"/>
      <c r="I3108" s="637"/>
      <c r="J3108" s="637"/>
    </row>
    <row r="3109" spans="1:10" x14ac:dyDescent="0.2">
      <c r="A3109" s="626"/>
      <c r="B3109" s="637"/>
      <c r="C3109" s="637"/>
      <c r="D3109" s="637"/>
      <c r="E3109" s="637"/>
      <c r="F3109" s="637"/>
      <c r="G3109" s="637"/>
      <c r="H3109" s="637"/>
      <c r="I3109" s="637"/>
      <c r="J3109" s="637"/>
    </row>
    <row r="3110" spans="1:10" x14ac:dyDescent="0.2">
      <c r="A3110" s="626"/>
      <c r="B3110" s="637"/>
      <c r="C3110" s="637"/>
      <c r="D3110" s="637"/>
      <c r="E3110" s="637"/>
      <c r="F3110" s="637"/>
      <c r="G3110" s="637"/>
      <c r="H3110" s="637"/>
      <c r="I3110" s="637"/>
      <c r="J3110" s="637"/>
    </row>
    <row r="3111" spans="1:10" x14ac:dyDescent="0.2">
      <c r="A3111" s="626"/>
      <c r="B3111" s="637"/>
      <c r="C3111" s="637"/>
      <c r="D3111" s="637"/>
      <c r="E3111" s="637"/>
      <c r="F3111" s="637"/>
      <c r="G3111" s="637"/>
      <c r="H3111" s="637"/>
      <c r="I3111" s="637"/>
      <c r="J3111" s="637"/>
    </row>
    <row r="3112" spans="1:10" x14ac:dyDescent="0.2">
      <c r="A3112" s="626"/>
      <c r="B3112" s="637"/>
      <c r="C3112" s="637"/>
      <c r="D3112" s="637"/>
      <c r="E3112" s="637"/>
      <c r="F3112" s="637"/>
      <c r="G3112" s="637"/>
      <c r="H3112" s="637"/>
      <c r="I3112" s="637"/>
      <c r="J3112" s="637"/>
    </row>
    <row r="3113" spans="1:10" x14ac:dyDescent="0.2">
      <c r="A3113" s="626"/>
      <c r="B3113" s="637"/>
      <c r="C3113" s="637"/>
      <c r="D3113" s="637"/>
      <c r="E3113" s="637"/>
      <c r="F3113" s="637"/>
      <c r="G3113" s="637"/>
      <c r="H3113" s="637"/>
      <c r="I3113" s="637"/>
      <c r="J3113" s="637"/>
    </row>
    <row r="3114" spans="1:10" x14ac:dyDescent="0.2">
      <c r="A3114" s="626"/>
      <c r="B3114" s="637"/>
      <c r="C3114" s="637"/>
      <c r="D3114" s="637"/>
      <c r="E3114" s="637"/>
      <c r="F3114" s="637"/>
      <c r="G3114" s="637"/>
      <c r="H3114" s="637"/>
      <c r="I3114" s="637"/>
      <c r="J3114" s="637"/>
    </row>
    <row r="3115" spans="1:10" x14ac:dyDescent="0.2">
      <c r="A3115" s="626"/>
      <c r="B3115" s="637"/>
      <c r="C3115" s="637"/>
      <c r="D3115" s="637"/>
      <c r="E3115" s="637"/>
      <c r="F3115" s="637"/>
      <c r="G3115" s="637"/>
      <c r="H3115" s="637"/>
      <c r="I3115" s="637"/>
      <c r="J3115" s="637"/>
    </row>
    <row r="3116" spans="1:10" x14ac:dyDescent="0.2">
      <c r="A3116" s="626"/>
      <c r="B3116" s="637"/>
      <c r="C3116" s="637"/>
      <c r="D3116" s="637"/>
      <c r="E3116" s="637"/>
      <c r="F3116" s="637"/>
      <c r="G3116" s="637"/>
      <c r="H3116" s="637"/>
      <c r="I3116" s="637"/>
      <c r="J3116" s="637"/>
    </row>
    <row r="3117" spans="1:10" x14ac:dyDescent="0.2">
      <c r="A3117" s="626"/>
      <c r="B3117" s="637"/>
      <c r="C3117" s="637"/>
      <c r="D3117" s="637"/>
      <c r="E3117" s="637"/>
      <c r="F3117" s="637"/>
      <c r="G3117" s="637"/>
      <c r="H3117" s="637"/>
      <c r="I3117" s="637"/>
      <c r="J3117" s="637"/>
    </row>
    <row r="3118" spans="1:10" x14ac:dyDescent="0.2">
      <c r="A3118" s="626"/>
      <c r="B3118" s="637"/>
      <c r="C3118" s="637"/>
      <c r="D3118" s="637"/>
      <c r="E3118" s="637"/>
      <c r="F3118" s="637"/>
      <c r="G3118" s="637"/>
      <c r="H3118" s="637"/>
      <c r="I3118" s="637"/>
      <c r="J3118" s="637"/>
    </row>
    <row r="3119" spans="1:10" x14ac:dyDescent="0.2">
      <c r="A3119" s="626"/>
      <c r="B3119" s="637"/>
      <c r="C3119" s="637"/>
      <c r="D3119" s="637"/>
      <c r="E3119" s="637"/>
      <c r="F3119" s="637"/>
      <c r="G3119" s="637"/>
      <c r="H3119" s="637"/>
      <c r="I3119" s="637"/>
      <c r="J3119" s="637"/>
    </row>
    <row r="3120" spans="1:10" x14ac:dyDescent="0.2">
      <c r="A3120" s="626"/>
      <c r="B3120" s="637"/>
      <c r="C3120" s="637"/>
      <c r="D3120" s="637"/>
      <c r="E3120" s="637"/>
      <c r="F3120" s="637"/>
      <c r="G3120" s="637"/>
      <c r="H3120" s="637"/>
      <c r="I3120" s="637"/>
      <c r="J3120" s="637"/>
    </row>
    <row r="3121" spans="1:10" x14ac:dyDescent="0.2">
      <c r="A3121" s="626"/>
      <c r="B3121" s="637"/>
      <c r="C3121" s="637"/>
      <c r="D3121" s="637"/>
      <c r="E3121" s="637"/>
      <c r="F3121" s="637"/>
      <c r="G3121" s="637"/>
      <c r="H3121" s="637"/>
      <c r="I3121" s="637"/>
      <c r="J3121" s="637"/>
    </row>
    <row r="3122" spans="1:10" x14ac:dyDescent="0.2">
      <c r="A3122" s="626"/>
      <c r="B3122" s="637"/>
      <c r="C3122" s="637"/>
      <c r="D3122" s="637"/>
      <c r="E3122" s="637"/>
      <c r="F3122" s="637"/>
      <c r="G3122" s="637"/>
      <c r="H3122" s="637"/>
      <c r="I3122" s="637"/>
      <c r="J3122" s="637"/>
    </row>
    <row r="3123" spans="1:10" x14ac:dyDescent="0.2">
      <c r="A3123" s="626"/>
      <c r="B3123" s="637"/>
      <c r="C3123" s="637"/>
      <c r="D3123" s="637"/>
      <c r="E3123" s="637"/>
      <c r="F3123" s="637"/>
      <c r="G3123" s="637"/>
      <c r="H3123" s="637"/>
      <c r="I3123" s="637"/>
      <c r="J3123" s="637"/>
    </row>
    <row r="3124" spans="1:10" x14ac:dyDescent="0.2">
      <c r="A3124" s="626"/>
      <c r="B3124" s="637"/>
      <c r="C3124" s="637"/>
      <c r="D3124" s="637"/>
      <c r="E3124" s="637"/>
      <c r="F3124" s="637"/>
      <c r="G3124" s="637"/>
      <c r="H3124" s="637"/>
      <c r="I3124" s="637"/>
      <c r="J3124" s="637"/>
    </row>
    <row r="3125" spans="1:10" x14ac:dyDescent="0.2">
      <c r="A3125" s="626"/>
      <c r="B3125" s="637"/>
      <c r="C3125" s="637"/>
      <c r="D3125" s="637"/>
      <c r="E3125" s="637"/>
      <c r="F3125" s="637"/>
      <c r="G3125" s="637"/>
      <c r="H3125" s="637"/>
      <c r="I3125" s="637"/>
      <c r="J3125" s="637"/>
    </row>
    <row r="3126" spans="1:10" x14ac:dyDescent="0.2">
      <c r="A3126" s="626"/>
      <c r="B3126" s="637"/>
      <c r="C3126" s="637"/>
      <c r="D3126" s="637"/>
      <c r="E3126" s="637"/>
      <c r="F3126" s="637"/>
      <c r="G3126" s="637"/>
      <c r="H3126" s="637"/>
      <c r="I3126" s="637"/>
      <c r="J3126" s="637"/>
    </row>
    <row r="3127" spans="1:10" x14ac:dyDescent="0.2">
      <c r="A3127" s="626"/>
      <c r="B3127" s="637"/>
      <c r="C3127" s="637"/>
      <c r="D3127" s="637"/>
      <c r="E3127" s="637"/>
      <c r="F3127" s="637"/>
      <c r="G3127" s="637"/>
      <c r="H3127" s="637"/>
      <c r="I3127" s="637"/>
      <c r="J3127" s="637"/>
    </row>
    <row r="3128" spans="1:10" x14ac:dyDescent="0.2">
      <c r="A3128" s="626"/>
      <c r="B3128" s="637"/>
      <c r="C3128" s="637"/>
      <c r="D3128" s="637"/>
      <c r="E3128" s="637"/>
      <c r="F3128" s="637"/>
      <c r="G3128" s="637"/>
      <c r="H3128" s="637"/>
      <c r="I3128" s="637"/>
      <c r="J3128" s="637"/>
    </row>
    <row r="3129" spans="1:10" x14ac:dyDescent="0.2">
      <c r="A3129" s="626"/>
      <c r="B3129" s="637"/>
      <c r="C3129" s="637"/>
      <c r="D3129" s="637"/>
      <c r="E3129" s="637"/>
      <c r="F3129" s="637"/>
      <c r="G3129" s="637"/>
      <c r="H3129" s="637"/>
      <c r="I3129" s="637"/>
      <c r="J3129" s="637"/>
    </row>
    <row r="3130" spans="1:10" x14ac:dyDescent="0.2">
      <c r="A3130" s="626"/>
      <c r="B3130" s="637"/>
      <c r="C3130" s="637"/>
      <c r="D3130" s="637"/>
      <c r="E3130" s="637"/>
      <c r="F3130" s="637"/>
      <c r="G3130" s="637"/>
      <c r="H3130" s="637"/>
      <c r="I3130" s="637"/>
      <c r="J3130" s="637"/>
    </row>
    <row r="3131" spans="1:10" x14ac:dyDescent="0.2">
      <c r="A3131" s="626"/>
      <c r="B3131" s="637"/>
      <c r="C3131" s="637"/>
      <c r="D3131" s="637"/>
      <c r="E3131" s="637"/>
      <c r="F3131" s="637"/>
      <c r="G3131" s="637"/>
      <c r="H3131" s="637"/>
      <c r="I3131" s="637"/>
      <c r="J3131" s="637"/>
    </row>
    <row r="3132" spans="1:10" x14ac:dyDescent="0.2">
      <c r="A3132" s="626"/>
      <c r="B3132" s="637"/>
      <c r="C3132" s="637"/>
      <c r="D3132" s="637"/>
      <c r="E3132" s="637"/>
      <c r="F3132" s="637"/>
      <c r="G3132" s="637"/>
      <c r="H3132" s="637"/>
      <c r="I3132" s="637"/>
      <c r="J3132" s="637"/>
    </row>
    <row r="3133" spans="1:10" x14ac:dyDescent="0.2">
      <c r="A3133" s="626"/>
      <c r="B3133" s="637"/>
      <c r="C3133" s="637"/>
      <c r="D3133" s="637"/>
      <c r="E3133" s="637"/>
      <c r="F3133" s="637"/>
      <c r="G3133" s="637"/>
      <c r="H3133" s="637"/>
      <c r="I3133" s="637"/>
      <c r="J3133" s="637"/>
    </row>
    <row r="3134" spans="1:10" x14ac:dyDescent="0.2">
      <c r="A3134" s="626"/>
      <c r="B3134" s="637"/>
      <c r="C3134" s="637"/>
      <c r="D3134" s="637"/>
      <c r="E3134" s="637"/>
      <c r="F3134" s="637"/>
      <c r="G3134" s="637"/>
      <c r="H3134" s="637"/>
      <c r="I3134" s="637"/>
      <c r="J3134" s="637"/>
    </row>
    <row r="3135" spans="1:10" x14ac:dyDescent="0.2">
      <c r="A3135" s="626"/>
      <c r="B3135" s="637"/>
      <c r="C3135" s="637"/>
      <c r="D3135" s="637"/>
      <c r="E3135" s="637"/>
      <c r="F3135" s="637"/>
      <c r="G3135" s="637"/>
      <c r="H3135" s="637"/>
      <c r="I3135" s="637"/>
      <c r="J3135" s="637"/>
    </row>
    <row r="3136" spans="1:10" x14ac:dyDescent="0.2">
      <c r="A3136" s="626"/>
      <c r="B3136" s="637"/>
      <c r="C3136" s="637"/>
      <c r="D3136" s="637"/>
      <c r="E3136" s="637"/>
      <c r="F3136" s="637"/>
      <c r="G3136" s="637"/>
      <c r="H3136" s="637"/>
      <c r="I3136" s="637"/>
      <c r="J3136" s="637"/>
    </row>
    <row r="3137" spans="1:10" x14ac:dyDescent="0.2">
      <c r="A3137" s="626"/>
      <c r="B3137" s="637"/>
      <c r="C3137" s="637"/>
      <c r="D3137" s="637"/>
      <c r="E3137" s="637"/>
      <c r="F3137" s="637"/>
      <c r="G3137" s="637"/>
      <c r="H3137" s="637"/>
      <c r="I3137" s="637"/>
      <c r="J3137" s="637"/>
    </row>
    <row r="3138" spans="1:10" x14ac:dyDescent="0.2">
      <c r="A3138" s="626"/>
      <c r="B3138" s="637"/>
      <c r="C3138" s="637"/>
      <c r="D3138" s="637"/>
      <c r="E3138" s="637"/>
      <c r="F3138" s="637"/>
      <c r="G3138" s="637"/>
      <c r="H3138" s="637"/>
      <c r="I3138" s="637"/>
      <c r="J3138" s="637"/>
    </row>
    <row r="3139" spans="1:10" x14ac:dyDescent="0.2">
      <c r="A3139" s="626"/>
      <c r="B3139" s="637"/>
      <c r="C3139" s="637"/>
      <c r="D3139" s="637"/>
      <c r="E3139" s="637"/>
      <c r="F3139" s="637"/>
      <c r="G3139" s="637"/>
      <c r="H3139" s="637"/>
      <c r="I3139" s="637"/>
      <c r="J3139" s="637"/>
    </row>
    <row r="3140" spans="1:10" x14ac:dyDescent="0.2">
      <c r="A3140" s="626"/>
      <c r="B3140" s="637"/>
      <c r="C3140" s="637"/>
      <c r="D3140" s="637"/>
      <c r="E3140" s="637"/>
      <c r="F3140" s="637"/>
      <c r="G3140" s="637"/>
      <c r="H3140" s="637"/>
      <c r="I3140" s="637"/>
      <c r="J3140" s="637"/>
    </row>
    <row r="3141" spans="1:10" x14ac:dyDescent="0.2">
      <c r="A3141" s="626"/>
      <c r="B3141" s="637"/>
      <c r="C3141" s="637"/>
      <c r="D3141" s="637"/>
      <c r="E3141" s="637"/>
      <c r="F3141" s="637"/>
      <c r="G3141" s="637"/>
      <c r="H3141" s="637"/>
      <c r="I3141" s="637"/>
      <c r="J3141" s="637"/>
    </row>
    <row r="3142" spans="1:10" x14ac:dyDescent="0.2">
      <c r="A3142" s="626"/>
      <c r="B3142" s="637"/>
      <c r="C3142" s="637"/>
      <c r="D3142" s="637"/>
      <c r="E3142" s="637"/>
      <c r="F3142" s="637"/>
      <c r="G3142" s="637"/>
      <c r="H3142" s="637"/>
      <c r="I3142" s="637"/>
      <c r="J3142" s="637"/>
    </row>
    <row r="3143" spans="1:10" x14ac:dyDescent="0.2">
      <c r="A3143" s="626"/>
      <c r="B3143" s="637"/>
      <c r="C3143" s="637"/>
      <c r="D3143" s="637"/>
      <c r="E3143" s="637"/>
      <c r="F3143" s="637"/>
      <c r="G3143" s="637"/>
      <c r="H3143" s="637"/>
      <c r="I3143" s="637"/>
      <c r="J3143" s="637"/>
    </row>
    <row r="3144" spans="1:10" x14ac:dyDescent="0.2">
      <c r="A3144" s="626"/>
      <c r="B3144" s="637"/>
      <c r="C3144" s="637"/>
      <c r="D3144" s="637"/>
      <c r="E3144" s="637"/>
      <c r="F3144" s="637"/>
      <c r="G3144" s="637"/>
      <c r="H3144" s="637"/>
      <c r="I3144" s="637"/>
      <c r="J3144" s="637"/>
    </row>
    <row r="3145" spans="1:10" x14ac:dyDescent="0.2">
      <c r="A3145" s="626"/>
      <c r="B3145" s="637"/>
      <c r="C3145" s="637"/>
      <c r="D3145" s="637"/>
      <c r="E3145" s="637"/>
      <c r="F3145" s="637"/>
      <c r="G3145" s="637"/>
      <c r="H3145" s="637"/>
      <c r="I3145" s="637"/>
      <c r="J3145" s="637"/>
    </row>
    <row r="3146" spans="1:10" x14ac:dyDescent="0.2">
      <c r="A3146" s="626"/>
      <c r="B3146" s="637"/>
      <c r="C3146" s="637"/>
      <c r="D3146" s="637"/>
      <c r="E3146" s="637"/>
      <c r="F3146" s="637"/>
      <c r="G3146" s="637"/>
      <c r="H3146" s="637"/>
      <c r="I3146" s="637"/>
      <c r="J3146" s="637"/>
    </row>
    <row r="3147" spans="1:10" x14ac:dyDescent="0.2">
      <c r="A3147" s="626"/>
      <c r="B3147" s="637"/>
      <c r="C3147" s="637"/>
      <c r="D3147" s="637"/>
      <c r="E3147" s="637"/>
      <c r="F3147" s="637"/>
      <c r="G3147" s="637"/>
      <c r="H3147" s="637"/>
      <c r="I3147" s="637"/>
      <c r="J3147" s="637"/>
    </row>
    <row r="3148" spans="1:10" x14ac:dyDescent="0.2">
      <c r="A3148" s="626"/>
      <c r="B3148" s="637"/>
      <c r="C3148" s="637"/>
      <c r="D3148" s="637"/>
      <c r="E3148" s="637"/>
      <c r="F3148" s="637"/>
      <c r="G3148" s="637"/>
      <c r="H3148" s="637"/>
      <c r="I3148" s="637"/>
      <c r="J3148" s="637"/>
    </row>
    <row r="3149" spans="1:10" x14ac:dyDescent="0.2">
      <c r="A3149" s="626"/>
      <c r="B3149" s="637"/>
      <c r="C3149" s="637"/>
      <c r="D3149" s="637"/>
      <c r="E3149" s="637"/>
      <c r="F3149" s="637"/>
      <c r="G3149" s="637"/>
      <c r="H3149" s="637"/>
      <c r="I3149" s="637"/>
      <c r="J3149" s="637"/>
    </row>
    <row r="3150" spans="1:10" x14ac:dyDescent="0.2">
      <c r="A3150" s="626"/>
      <c r="B3150" s="637"/>
      <c r="C3150" s="637"/>
      <c r="D3150" s="637"/>
      <c r="E3150" s="637"/>
      <c r="F3150" s="637"/>
      <c r="G3150" s="637"/>
      <c r="H3150" s="637"/>
      <c r="I3150" s="637"/>
      <c r="J3150" s="637"/>
    </row>
    <row r="3151" spans="1:10" x14ac:dyDescent="0.2">
      <c r="A3151" s="626"/>
      <c r="B3151" s="637"/>
      <c r="C3151" s="637"/>
      <c r="D3151" s="637"/>
      <c r="E3151" s="637"/>
      <c r="F3151" s="637"/>
      <c r="G3151" s="637"/>
      <c r="H3151" s="637"/>
      <c r="I3151" s="637"/>
      <c r="J3151" s="637"/>
    </row>
    <row r="3152" spans="1:10" x14ac:dyDescent="0.2">
      <c r="A3152" s="626"/>
      <c r="B3152" s="637"/>
      <c r="C3152" s="637"/>
      <c r="D3152" s="637"/>
      <c r="E3152" s="637"/>
      <c r="F3152" s="637"/>
      <c r="G3152" s="637"/>
      <c r="H3152" s="637"/>
      <c r="I3152" s="637"/>
      <c r="J3152" s="637"/>
    </row>
    <row r="3153" spans="1:10" x14ac:dyDescent="0.2">
      <c r="A3153" s="626"/>
      <c r="B3153" s="637"/>
      <c r="C3153" s="637"/>
      <c r="D3153" s="637"/>
      <c r="E3153" s="637"/>
      <c r="F3153" s="637"/>
      <c r="G3153" s="637"/>
      <c r="H3153" s="637"/>
      <c r="I3153" s="637"/>
      <c r="J3153" s="637"/>
    </row>
    <row r="3154" spans="1:10" x14ac:dyDescent="0.2">
      <c r="A3154" s="626"/>
      <c r="B3154" s="637"/>
      <c r="C3154" s="637"/>
      <c r="D3154" s="637"/>
      <c r="E3154" s="637"/>
      <c r="F3154" s="637"/>
      <c r="G3154" s="637"/>
      <c r="H3154" s="637"/>
      <c r="I3154" s="637"/>
      <c r="J3154" s="637"/>
    </row>
    <row r="3155" spans="1:10" x14ac:dyDescent="0.2">
      <c r="A3155" s="626"/>
      <c r="B3155" s="637"/>
      <c r="C3155" s="637"/>
      <c r="D3155" s="637"/>
      <c r="E3155" s="637"/>
      <c r="F3155" s="637"/>
      <c r="G3155" s="637"/>
      <c r="H3155" s="637"/>
      <c r="I3155" s="637"/>
      <c r="J3155" s="637"/>
    </row>
    <row r="3156" spans="1:10" x14ac:dyDescent="0.2">
      <c r="A3156" s="626"/>
      <c r="B3156" s="637"/>
      <c r="C3156" s="637"/>
      <c r="D3156" s="637"/>
      <c r="E3156" s="637"/>
      <c r="F3156" s="637"/>
      <c r="G3156" s="637"/>
      <c r="H3156" s="637"/>
      <c r="I3156" s="637"/>
      <c r="J3156" s="637"/>
    </row>
    <row r="3157" spans="1:10" x14ac:dyDescent="0.2">
      <c r="A3157" s="626"/>
      <c r="B3157" s="637"/>
      <c r="C3157" s="637"/>
      <c r="D3157" s="637"/>
      <c r="E3157" s="637"/>
      <c r="F3157" s="637"/>
      <c r="G3157" s="637"/>
      <c r="H3157" s="637"/>
      <c r="I3157" s="637"/>
      <c r="J3157" s="637"/>
    </row>
    <row r="3158" spans="1:10" x14ac:dyDescent="0.2">
      <c r="A3158" s="626"/>
      <c r="B3158" s="637"/>
      <c r="C3158" s="637"/>
      <c r="D3158" s="637"/>
      <c r="E3158" s="637"/>
      <c r="F3158" s="637"/>
      <c r="G3158" s="637"/>
      <c r="H3158" s="637"/>
      <c r="I3158" s="637"/>
      <c r="J3158" s="637"/>
    </row>
    <row r="3159" spans="1:10" x14ac:dyDescent="0.2">
      <c r="A3159" s="626"/>
      <c r="B3159" s="637"/>
      <c r="C3159" s="637"/>
      <c r="D3159" s="637"/>
      <c r="E3159" s="637"/>
      <c r="F3159" s="637"/>
      <c r="G3159" s="637"/>
      <c r="H3159" s="637"/>
      <c r="I3159" s="637"/>
      <c r="J3159" s="637"/>
    </row>
    <row r="3160" spans="1:10" x14ac:dyDescent="0.2">
      <c r="A3160" s="626"/>
      <c r="B3160" s="637"/>
      <c r="C3160" s="637"/>
      <c r="D3160" s="637"/>
      <c r="E3160" s="637"/>
      <c r="F3160" s="637"/>
      <c r="G3160" s="637"/>
      <c r="H3160" s="637"/>
      <c r="I3160" s="637"/>
      <c r="J3160" s="637"/>
    </row>
    <row r="3161" spans="1:10" x14ac:dyDescent="0.2">
      <c r="A3161" s="626"/>
      <c r="B3161" s="637"/>
      <c r="C3161" s="637"/>
      <c r="D3161" s="637"/>
      <c r="E3161" s="637"/>
      <c r="F3161" s="637"/>
      <c r="G3161" s="637"/>
      <c r="H3161" s="637"/>
      <c r="I3161" s="637"/>
      <c r="J3161" s="637"/>
    </row>
    <row r="3162" spans="1:10" x14ac:dyDescent="0.2">
      <c r="A3162" s="626"/>
      <c r="B3162" s="637"/>
      <c r="C3162" s="637"/>
      <c r="D3162" s="637"/>
      <c r="E3162" s="637"/>
      <c r="F3162" s="637"/>
      <c r="G3162" s="637"/>
      <c r="H3162" s="637"/>
      <c r="I3162" s="637"/>
      <c r="J3162" s="637"/>
    </row>
    <row r="3163" spans="1:10" x14ac:dyDescent="0.2">
      <c r="A3163" s="626"/>
      <c r="B3163" s="637"/>
      <c r="C3163" s="637"/>
      <c r="D3163" s="637"/>
      <c r="E3163" s="637"/>
      <c r="F3163" s="637"/>
      <c r="G3163" s="637"/>
      <c r="H3163" s="637"/>
      <c r="I3163" s="637"/>
      <c r="J3163" s="637"/>
    </row>
    <row r="3164" spans="1:10" x14ac:dyDescent="0.2">
      <c r="A3164" s="626"/>
      <c r="B3164" s="637"/>
      <c r="C3164" s="637"/>
      <c r="D3164" s="637"/>
      <c r="E3164" s="637"/>
      <c r="F3164" s="637"/>
      <c r="G3164" s="637"/>
      <c r="H3164" s="637"/>
      <c r="I3164" s="637"/>
      <c r="J3164" s="637"/>
    </row>
    <row r="3165" spans="1:10" x14ac:dyDescent="0.2">
      <c r="A3165" s="626"/>
      <c r="B3165" s="637"/>
      <c r="C3165" s="637"/>
      <c r="D3165" s="637"/>
      <c r="E3165" s="637"/>
      <c r="F3165" s="637"/>
      <c r="G3165" s="637"/>
      <c r="H3165" s="637"/>
      <c r="I3165" s="637"/>
      <c r="J3165" s="637"/>
    </row>
    <row r="3166" spans="1:10" x14ac:dyDescent="0.2">
      <c r="A3166" s="626"/>
      <c r="B3166" s="637"/>
      <c r="C3166" s="637"/>
      <c r="D3166" s="637"/>
      <c r="E3166" s="637"/>
      <c r="F3166" s="637"/>
      <c r="G3166" s="637"/>
      <c r="H3166" s="637"/>
      <c r="I3166" s="637"/>
      <c r="J3166" s="637"/>
    </row>
    <row r="3167" spans="1:10" x14ac:dyDescent="0.2">
      <c r="A3167" s="626"/>
      <c r="B3167" s="637"/>
      <c r="C3167" s="637"/>
      <c r="D3167" s="637"/>
      <c r="E3167" s="637"/>
      <c r="F3167" s="637"/>
      <c r="G3167" s="637"/>
      <c r="H3167" s="637"/>
      <c r="I3167" s="637"/>
      <c r="J3167" s="637"/>
    </row>
    <row r="3168" spans="1:10" x14ac:dyDescent="0.2">
      <c r="A3168" s="626"/>
      <c r="B3168" s="637"/>
      <c r="C3168" s="637"/>
      <c r="D3168" s="637"/>
      <c r="E3168" s="637"/>
      <c r="F3168" s="637"/>
      <c r="G3168" s="637"/>
      <c r="H3168" s="637"/>
      <c r="I3168" s="637"/>
      <c r="J3168" s="637"/>
    </row>
    <row r="3169" spans="1:10" x14ac:dyDescent="0.2">
      <c r="A3169" s="626"/>
      <c r="B3169" s="637"/>
      <c r="C3169" s="637"/>
      <c r="D3169" s="637"/>
      <c r="E3169" s="637"/>
      <c r="F3169" s="637"/>
      <c r="G3169" s="637"/>
      <c r="H3169" s="637"/>
      <c r="I3169" s="637"/>
      <c r="J3169" s="637"/>
    </row>
    <row r="3170" spans="1:10" x14ac:dyDescent="0.2">
      <c r="A3170" s="626"/>
      <c r="B3170" s="637"/>
      <c r="C3170" s="637"/>
      <c r="D3170" s="637"/>
      <c r="E3170" s="637"/>
      <c r="F3170" s="637"/>
      <c r="G3170" s="637"/>
      <c r="H3170" s="637"/>
      <c r="I3170" s="637"/>
      <c r="J3170" s="637"/>
    </row>
    <row r="3171" spans="1:10" x14ac:dyDescent="0.2">
      <c r="A3171" s="626"/>
      <c r="B3171" s="637"/>
      <c r="C3171" s="637"/>
      <c r="D3171" s="637"/>
      <c r="E3171" s="637"/>
      <c r="F3171" s="637"/>
      <c r="G3171" s="637"/>
      <c r="H3171" s="637"/>
      <c r="I3171" s="637"/>
      <c r="J3171" s="637"/>
    </row>
    <row r="3172" spans="1:10" x14ac:dyDescent="0.2">
      <c r="A3172" s="626"/>
      <c r="B3172" s="637"/>
      <c r="C3172" s="637"/>
      <c r="D3172" s="637"/>
      <c r="E3172" s="637"/>
      <c r="F3172" s="637"/>
      <c r="G3172" s="637"/>
      <c r="H3172" s="637"/>
      <c r="I3172" s="637"/>
      <c r="J3172" s="637"/>
    </row>
    <row r="3173" spans="1:10" x14ac:dyDescent="0.2">
      <c r="A3173" s="626"/>
      <c r="B3173" s="637"/>
      <c r="C3173" s="637"/>
      <c r="D3173" s="637"/>
      <c r="E3173" s="637"/>
      <c r="F3173" s="637"/>
      <c r="G3173" s="637"/>
      <c r="H3173" s="637"/>
      <c r="I3173" s="637"/>
      <c r="J3173" s="637"/>
    </row>
    <row r="3174" spans="1:10" x14ac:dyDescent="0.2">
      <c r="A3174" s="626"/>
      <c r="B3174" s="637"/>
      <c r="C3174" s="637"/>
      <c r="D3174" s="637"/>
      <c r="E3174" s="637"/>
      <c r="F3174" s="637"/>
      <c r="G3174" s="637"/>
      <c r="H3174" s="637"/>
      <c r="I3174" s="637"/>
      <c r="J3174" s="637"/>
    </row>
    <row r="3175" spans="1:10" x14ac:dyDescent="0.2">
      <c r="A3175" s="626"/>
      <c r="B3175" s="637"/>
      <c r="C3175" s="637"/>
      <c r="D3175" s="637"/>
      <c r="E3175" s="637"/>
      <c r="F3175" s="637"/>
      <c r="G3175" s="637"/>
      <c r="H3175" s="637"/>
      <c r="I3175" s="637"/>
      <c r="J3175" s="637"/>
    </row>
    <row r="3176" spans="1:10" x14ac:dyDescent="0.2">
      <c r="A3176" s="626"/>
      <c r="B3176" s="637"/>
      <c r="C3176" s="637"/>
      <c r="D3176" s="637"/>
      <c r="E3176" s="637"/>
      <c r="F3176" s="637"/>
      <c r="G3176" s="637"/>
      <c r="H3176" s="637"/>
      <c r="I3176" s="637"/>
      <c r="J3176" s="637"/>
    </row>
    <row r="3177" spans="1:10" x14ac:dyDescent="0.2">
      <c r="A3177" s="626"/>
      <c r="B3177" s="637"/>
      <c r="C3177" s="637"/>
      <c r="D3177" s="637"/>
      <c r="E3177" s="637"/>
      <c r="F3177" s="637"/>
      <c r="G3177" s="637"/>
      <c r="H3177" s="637"/>
      <c r="I3177" s="637"/>
      <c r="J3177" s="637"/>
    </row>
    <row r="3178" spans="1:10" x14ac:dyDescent="0.2">
      <c r="A3178" s="626"/>
      <c r="B3178" s="637"/>
      <c r="C3178" s="637"/>
      <c r="D3178" s="637"/>
      <c r="E3178" s="637"/>
      <c r="F3178" s="637"/>
      <c r="G3178" s="637"/>
      <c r="H3178" s="637"/>
      <c r="I3178" s="637"/>
      <c r="J3178" s="637"/>
    </row>
    <row r="3179" spans="1:10" x14ac:dyDescent="0.2">
      <c r="A3179" s="626"/>
      <c r="B3179" s="637"/>
      <c r="C3179" s="637"/>
      <c r="D3179" s="637"/>
      <c r="E3179" s="637"/>
      <c r="F3179" s="637"/>
      <c r="G3179" s="637"/>
      <c r="H3179" s="637"/>
      <c r="I3179" s="637"/>
      <c r="J3179" s="637"/>
    </row>
    <row r="3180" spans="1:10" x14ac:dyDescent="0.2">
      <c r="A3180" s="626"/>
      <c r="B3180" s="637"/>
      <c r="C3180" s="637"/>
      <c r="D3180" s="637"/>
      <c r="E3180" s="637"/>
      <c r="F3180" s="637"/>
      <c r="G3180" s="637"/>
      <c r="H3180" s="637"/>
      <c r="I3180" s="637"/>
      <c r="J3180" s="637"/>
    </row>
    <row r="3181" spans="1:10" x14ac:dyDescent="0.2">
      <c r="A3181" s="626"/>
      <c r="B3181" s="637"/>
      <c r="C3181" s="637"/>
      <c r="D3181" s="637"/>
      <c r="E3181" s="637"/>
      <c r="F3181" s="637"/>
      <c r="G3181" s="637"/>
      <c r="H3181" s="637"/>
      <c r="I3181" s="637"/>
      <c r="J3181" s="637"/>
    </row>
    <row r="3182" spans="1:10" x14ac:dyDescent="0.2">
      <c r="A3182" s="626"/>
      <c r="B3182" s="637"/>
      <c r="C3182" s="637"/>
      <c r="D3182" s="637"/>
      <c r="E3182" s="637"/>
      <c r="F3182" s="637"/>
      <c r="G3182" s="637"/>
      <c r="H3182" s="637"/>
      <c r="I3182" s="637"/>
      <c r="J3182" s="637"/>
    </row>
    <row r="3183" spans="1:10" x14ac:dyDescent="0.2">
      <c r="A3183" s="626"/>
      <c r="B3183" s="637"/>
      <c r="C3183" s="637"/>
      <c r="D3183" s="637"/>
      <c r="E3183" s="637"/>
      <c r="F3183" s="637"/>
      <c r="G3183" s="637"/>
      <c r="H3183" s="637"/>
      <c r="I3183" s="637"/>
      <c r="J3183" s="637"/>
    </row>
    <row r="3184" spans="1:10" x14ac:dyDescent="0.2">
      <c r="A3184" s="626"/>
      <c r="B3184" s="637"/>
      <c r="C3184" s="637"/>
      <c r="D3184" s="637"/>
      <c r="E3184" s="637"/>
      <c r="F3184" s="637"/>
      <c r="G3184" s="637"/>
      <c r="H3184" s="637"/>
      <c r="I3184" s="637"/>
      <c r="J3184" s="637"/>
    </row>
    <row r="3185" spans="1:10" x14ac:dyDescent="0.2">
      <c r="A3185" s="626"/>
      <c r="B3185" s="637"/>
      <c r="C3185" s="637"/>
      <c r="D3185" s="637"/>
      <c r="E3185" s="637"/>
      <c r="F3185" s="637"/>
      <c r="G3185" s="637"/>
      <c r="H3185" s="637"/>
      <c r="I3185" s="637"/>
      <c r="J3185" s="637"/>
    </row>
    <row r="3186" spans="1:10" x14ac:dyDescent="0.2">
      <c r="A3186" s="626"/>
      <c r="B3186" s="637"/>
      <c r="C3186" s="637"/>
      <c r="D3186" s="637"/>
      <c r="E3186" s="637"/>
      <c r="F3186" s="637"/>
      <c r="G3186" s="637"/>
      <c r="H3186" s="637"/>
      <c r="I3186" s="637"/>
      <c r="J3186" s="637"/>
    </row>
    <row r="3187" spans="1:10" x14ac:dyDescent="0.2">
      <c r="A3187" s="626"/>
      <c r="B3187" s="637"/>
      <c r="C3187" s="637"/>
      <c r="D3187" s="637"/>
      <c r="E3187" s="637"/>
      <c r="F3187" s="637"/>
      <c r="G3187" s="637"/>
      <c r="H3187" s="637"/>
      <c r="I3187" s="637"/>
      <c r="J3187" s="637"/>
    </row>
    <row r="3188" spans="1:10" x14ac:dyDescent="0.2">
      <c r="A3188" s="626"/>
      <c r="B3188" s="637"/>
      <c r="C3188" s="637"/>
      <c r="D3188" s="637"/>
      <c r="E3188" s="637"/>
      <c r="F3188" s="637"/>
      <c r="G3188" s="637"/>
      <c r="H3188" s="637"/>
      <c r="I3188" s="637"/>
      <c r="J3188" s="637"/>
    </row>
    <row r="3189" spans="1:10" x14ac:dyDescent="0.2">
      <c r="A3189" s="626"/>
      <c r="B3189" s="637"/>
      <c r="C3189" s="637"/>
      <c r="D3189" s="637"/>
      <c r="E3189" s="637"/>
      <c r="F3189" s="637"/>
      <c r="G3189" s="637"/>
      <c r="H3189" s="637"/>
      <c r="I3189" s="637"/>
      <c r="J3189" s="637"/>
    </row>
    <row r="3190" spans="1:10" x14ac:dyDescent="0.2">
      <c r="A3190" s="626"/>
      <c r="B3190" s="637"/>
      <c r="C3190" s="637"/>
      <c r="D3190" s="637"/>
      <c r="E3190" s="637"/>
      <c r="F3190" s="637"/>
      <c r="G3190" s="637"/>
      <c r="H3190" s="637"/>
      <c r="I3190" s="637"/>
      <c r="J3190" s="637"/>
    </row>
    <row r="3191" spans="1:10" x14ac:dyDescent="0.2">
      <c r="A3191" s="626"/>
      <c r="B3191" s="637"/>
      <c r="C3191" s="637"/>
      <c r="D3191" s="637"/>
      <c r="E3191" s="637"/>
      <c r="F3191" s="637"/>
      <c r="G3191" s="637"/>
      <c r="H3191" s="637"/>
      <c r="I3191" s="637"/>
      <c r="J3191" s="637"/>
    </row>
    <row r="3192" spans="1:10" x14ac:dyDescent="0.2">
      <c r="A3192" s="626"/>
      <c r="B3192" s="637"/>
      <c r="C3192" s="637"/>
      <c r="D3192" s="637"/>
      <c r="E3192" s="637"/>
      <c r="F3192" s="637"/>
      <c r="G3192" s="637"/>
      <c r="H3192" s="637"/>
      <c r="I3192" s="637"/>
      <c r="J3192" s="637"/>
    </row>
    <row r="3193" spans="1:10" x14ac:dyDescent="0.2">
      <c r="A3193" s="626"/>
      <c r="B3193" s="637"/>
      <c r="C3193" s="637"/>
      <c r="D3193" s="637"/>
      <c r="E3193" s="637"/>
      <c r="F3193" s="637"/>
      <c r="G3193" s="637"/>
      <c r="H3193" s="637"/>
      <c r="I3193" s="637"/>
      <c r="J3193" s="637"/>
    </row>
    <row r="3194" spans="1:10" x14ac:dyDescent="0.2">
      <c r="A3194" s="626"/>
      <c r="B3194" s="637"/>
      <c r="C3194" s="637"/>
      <c r="D3194" s="637"/>
      <c r="E3194" s="637"/>
      <c r="F3194" s="637"/>
      <c r="G3194" s="637"/>
      <c r="H3194" s="637"/>
      <c r="I3194" s="637"/>
      <c r="J3194" s="637"/>
    </row>
    <row r="3195" spans="1:10" x14ac:dyDescent="0.2">
      <c r="A3195" s="626"/>
      <c r="B3195" s="637"/>
      <c r="C3195" s="637"/>
      <c r="D3195" s="637"/>
      <c r="E3195" s="637"/>
      <c r="F3195" s="637"/>
      <c r="G3195" s="637"/>
      <c r="H3195" s="637"/>
      <c r="I3195" s="637"/>
      <c r="J3195" s="637"/>
    </row>
    <row r="3196" spans="1:10" x14ac:dyDescent="0.2">
      <c r="A3196" s="626"/>
      <c r="B3196" s="637"/>
      <c r="C3196" s="637"/>
      <c r="D3196" s="637"/>
      <c r="E3196" s="637"/>
      <c r="F3196" s="637"/>
      <c r="G3196" s="637"/>
      <c r="H3196" s="637"/>
      <c r="I3196" s="637"/>
      <c r="J3196" s="637"/>
    </row>
    <row r="3197" spans="1:10" x14ac:dyDescent="0.2">
      <c r="A3197" s="626"/>
      <c r="B3197" s="637"/>
      <c r="C3197" s="637"/>
      <c r="D3197" s="637"/>
      <c r="E3197" s="637"/>
      <c r="F3197" s="637"/>
      <c r="G3197" s="637"/>
      <c r="H3197" s="637"/>
      <c r="I3197" s="637"/>
      <c r="J3197" s="637"/>
    </row>
    <row r="3198" spans="1:10" x14ac:dyDescent="0.2">
      <c r="A3198" s="626"/>
      <c r="B3198" s="637"/>
      <c r="C3198" s="637"/>
      <c r="D3198" s="637"/>
      <c r="E3198" s="637"/>
      <c r="F3198" s="637"/>
      <c r="G3198" s="637"/>
      <c r="H3198" s="637"/>
      <c r="I3198" s="637"/>
      <c r="J3198" s="637"/>
    </row>
    <row r="3199" spans="1:10" x14ac:dyDescent="0.2">
      <c r="A3199" s="626"/>
      <c r="B3199" s="637"/>
      <c r="C3199" s="637"/>
      <c r="D3199" s="637"/>
      <c r="E3199" s="637"/>
      <c r="F3199" s="637"/>
      <c r="G3199" s="637"/>
      <c r="H3199" s="637"/>
      <c r="I3199" s="637"/>
      <c r="J3199" s="637"/>
    </row>
    <row r="3200" spans="1:10" x14ac:dyDescent="0.2">
      <c r="A3200" s="626"/>
      <c r="B3200" s="637"/>
      <c r="C3200" s="637"/>
      <c r="D3200" s="637"/>
      <c r="E3200" s="637"/>
      <c r="F3200" s="637"/>
      <c r="G3200" s="637"/>
      <c r="H3200" s="637"/>
      <c r="I3200" s="637"/>
      <c r="J3200" s="637"/>
    </row>
    <row r="3201" spans="1:10" x14ac:dyDescent="0.2">
      <c r="A3201" s="626"/>
      <c r="B3201" s="637"/>
      <c r="C3201" s="637"/>
      <c r="D3201" s="637"/>
      <c r="E3201" s="637"/>
      <c r="F3201" s="637"/>
      <c r="G3201" s="637"/>
      <c r="H3201" s="637"/>
      <c r="I3201" s="637"/>
      <c r="J3201" s="637"/>
    </row>
    <row r="3202" spans="1:10" x14ac:dyDescent="0.2">
      <c r="A3202" s="626"/>
      <c r="B3202" s="637"/>
      <c r="C3202" s="637"/>
      <c r="D3202" s="637"/>
      <c r="E3202" s="637"/>
      <c r="F3202" s="637"/>
      <c r="G3202" s="637"/>
      <c r="H3202" s="637"/>
      <c r="I3202" s="637"/>
      <c r="J3202" s="637"/>
    </row>
    <row r="3203" spans="1:10" x14ac:dyDescent="0.2">
      <c r="A3203" s="626"/>
      <c r="B3203" s="637"/>
      <c r="C3203" s="637"/>
      <c r="D3203" s="637"/>
      <c r="E3203" s="637"/>
      <c r="F3203" s="637"/>
      <c r="G3203" s="637"/>
      <c r="H3203" s="637"/>
      <c r="I3203" s="637"/>
      <c r="J3203" s="637"/>
    </row>
    <row r="3204" spans="1:10" x14ac:dyDescent="0.2">
      <c r="A3204" s="626"/>
      <c r="B3204" s="637"/>
      <c r="C3204" s="637"/>
      <c r="D3204" s="637"/>
      <c r="E3204" s="637"/>
      <c r="F3204" s="637"/>
      <c r="G3204" s="637"/>
      <c r="H3204" s="637"/>
      <c r="I3204" s="637"/>
      <c r="J3204" s="637"/>
    </row>
    <row r="3205" spans="1:10" x14ac:dyDescent="0.2">
      <c r="A3205" s="626"/>
      <c r="B3205" s="637"/>
      <c r="C3205" s="637"/>
      <c r="D3205" s="637"/>
      <c r="E3205" s="637"/>
      <c r="F3205" s="637"/>
      <c r="G3205" s="637"/>
      <c r="H3205" s="637"/>
      <c r="I3205" s="637"/>
      <c r="J3205" s="637"/>
    </row>
    <row r="3206" spans="1:10" x14ac:dyDescent="0.2">
      <c r="A3206" s="626"/>
      <c r="B3206" s="637"/>
      <c r="C3206" s="637"/>
      <c r="D3206" s="637"/>
      <c r="E3206" s="637"/>
      <c r="F3206" s="637"/>
      <c r="G3206" s="637"/>
      <c r="H3206" s="637"/>
      <c r="I3206" s="637"/>
      <c r="J3206" s="637"/>
    </row>
    <row r="3207" spans="1:10" x14ac:dyDescent="0.2">
      <c r="A3207" s="626"/>
      <c r="B3207" s="637"/>
      <c r="C3207" s="637"/>
      <c r="D3207" s="637"/>
      <c r="E3207" s="637"/>
      <c r="F3207" s="637"/>
      <c r="G3207" s="637"/>
      <c r="H3207" s="637"/>
      <c r="I3207" s="637"/>
      <c r="J3207" s="637"/>
    </row>
    <row r="3208" spans="1:10" x14ac:dyDescent="0.2">
      <c r="A3208" s="626"/>
      <c r="B3208" s="637"/>
      <c r="C3208" s="637"/>
      <c r="D3208" s="637"/>
      <c r="E3208" s="637"/>
      <c r="F3208" s="637"/>
      <c r="G3208" s="637"/>
      <c r="H3208" s="637"/>
      <c r="I3208" s="637"/>
      <c r="J3208" s="637"/>
    </row>
    <row r="3209" spans="1:10" x14ac:dyDescent="0.2">
      <c r="A3209" s="626"/>
      <c r="B3209" s="637"/>
      <c r="C3209" s="637"/>
      <c r="D3209" s="637"/>
      <c r="E3209" s="637"/>
      <c r="F3209" s="637"/>
      <c r="G3209" s="637"/>
      <c r="H3209" s="637"/>
      <c r="I3209" s="637"/>
      <c r="J3209" s="637"/>
    </row>
    <row r="3210" spans="1:10" x14ac:dyDescent="0.2">
      <c r="A3210" s="626"/>
      <c r="B3210" s="637"/>
      <c r="C3210" s="637"/>
      <c r="D3210" s="637"/>
      <c r="E3210" s="637"/>
      <c r="F3210" s="637"/>
      <c r="G3210" s="637"/>
      <c r="H3210" s="637"/>
      <c r="I3210" s="637"/>
      <c r="J3210" s="637"/>
    </row>
    <row r="3211" spans="1:10" x14ac:dyDescent="0.2">
      <c r="A3211" s="626"/>
      <c r="B3211" s="637"/>
      <c r="C3211" s="637"/>
      <c r="D3211" s="637"/>
      <c r="E3211" s="637"/>
      <c r="F3211" s="637"/>
      <c r="G3211" s="637"/>
      <c r="H3211" s="637"/>
      <c r="I3211" s="637"/>
      <c r="J3211" s="637"/>
    </row>
    <row r="3212" spans="1:10" x14ac:dyDescent="0.2">
      <c r="A3212" s="626"/>
      <c r="B3212" s="637"/>
      <c r="C3212" s="637"/>
      <c r="D3212" s="637"/>
      <c r="E3212" s="637"/>
      <c r="F3212" s="637"/>
      <c r="G3212" s="637"/>
      <c r="H3212" s="637"/>
      <c r="I3212" s="637"/>
      <c r="J3212" s="637"/>
    </row>
    <row r="3213" spans="1:10" x14ac:dyDescent="0.2">
      <c r="A3213" s="626"/>
      <c r="B3213" s="637"/>
      <c r="C3213" s="637"/>
      <c r="D3213" s="637"/>
      <c r="E3213" s="637"/>
      <c r="F3213" s="637"/>
      <c r="G3213" s="637"/>
      <c r="H3213" s="637"/>
      <c r="I3213" s="637"/>
      <c r="J3213" s="637"/>
    </row>
    <row r="3214" spans="1:10" x14ac:dyDescent="0.2">
      <c r="A3214" s="626"/>
      <c r="B3214" s="637"/>
      <c r="C3214" s="637"/>
      <c r="D3214" s="637"/>
      <c r="E3214" s="637"/>
      <c r="F3214" s="637"/>
      <c r="G3214" s="637"/>
      <c r="H3214" s="637"/>
      <c r="I3214" s="637"/>
      <c r="J3214" s="637"/>
    </row>
    <row r="3215" spans="1:10" x14ac:dyDescent="0.2">
      <c r="A3215" s="626"/>
      <c r="B3215" s="637"/>
      <c r="C3215" s="637"/>
      <c r="D3215" s="637"/>
      <c r="E3215" s="637"/>
      <c r="F3215" s="637"/>
      <c r="G3215" s="637"/>
      <c r="H3215" s="637"/>
      <c r="I3215" s="637"/>
      <c r="J3215" s="637"/>
    </row>
    <row r="3216" spans="1:10" x14ac:dyDescent="0.2">
      <c r="A3216" s="626"/>
      <c r="B3216" s="637"/>
      <c r="C3216" s="637"/>
      <c r="D3216" s="637"/>
      <c r="E3216" s="637"/>
      <c r="F3216" s="637"/>
      <c r="G3216" s="637"/>
      <c r="H3216" s="637"/>
      <c r="I3216" s="637"/>
      <c r="J3216" s="637"/>
    </row>
    <row r="3217" spans="1:10" x14ac:dyDescent="0.2">
      <c r="A3217" s="626"/>
      <c r="B3217" s="637"/>
      <c r="C3217" s="637"/>
      <c r="D3217" s="637"/>
      <c r="E3217" s="637"/>
      <c r="F3217" s="637"/>
      <c r="G3217" s="637"/>
      <c r="H3217" s="637"/>
      <c r="I3217" s="637"/>
      <c r="J3217" s="637"/>
    </row>
    <row r="3218" spans="1:10" x14ac:dyDescent="0.2">
      <c r="A3218" s="626"/>
      <c r="B3218" s="637"/>
      <c r="C3218" s="637"/>
      <c r="D3218" s="637"/>
      <c r="E3218" s="637"/>
      <c r="F3218" s="637"/>
      <c r="G3218" s="637"/>
      <c r="H3218" s="637"/>
      <c r="I3218" s="637"/>
      <c r="J3218" s="637"/>
    </row>
    <row r="3219" spans="1:10" x14ac:dyDescent="0.2">
      <c r="A3219" s="626"/>
      <c r="B3219" s="637"/>
      <c r="C3219" s="637"/>
      <c r="D3219" s="637"/>
      <c r="E3219" s="637"/>
      <c r="F3219" s="637"/>
      <c r="G3219" s="637"/>
      <c r="H3219" s="637"/>
      <c r="I3219" s="637"/>
      <c r="J3219" s="637"/>
    </row>
    <row r="3220" spans="1:10" x14ac:dyDescent="0.2">
      <c r="A3220" s="626"/>
      <c r="B3220" s="637"/>
      <c r="C3220" s="637"/>
      <c r="D3220" s="637"/>
      <c r="E3220" s="637"/>
      <c r="F3220" s="637"/>
      <c r="G3220" s="637"/>
      <c r="H3220" s="637"/>
      <c r="I3220" s="637"/>
      <c r="J3220" s="637"/>
    </row>
    <row r="3221" spans="1:10" x14ac:dyDescent="0.2">
      <c r="A3221" s="626"/>
      <c r="B3221" s="637"/>
      <c r="C3221" s="637"/>
      <c r="D3221" s="637"/>
      <c r="E3221" s="637"/>
      <c r="F3221" s="637"/>
      <c r="G3221" s="637"/>
      <c r="H3221" s="637"/>
      <c r="I3221" s="637"/>
      <c r="J3221" s="637"/>
    </row>
    <row r="3222" spans="1:10" x14ac:dyDescent="0.2">
      <c r="A3222" s="626"/>
      <c r="B3222" s="637"/>
      <c r="C3222" s="637"/>
      <c r="D3222" s="637"/>
      <c r="E3222" s="637"/>
      <c r="F3222" s="637"/>
      <c r="G3222" s="637"/>
      <c r="H3222" s="637"/>
      <c r="I3222" s="637"/>
      <c r="J3222" s="637"/>
    </row>
    <row r="3223" spans="1:10" x14ac:dyDescent="0.2">
      <c r="A3223" s="626"/>
      <c r="B3223" s="637"/>
      <c r="C3223" s="637"/>
      <c r="D3223" s="637"/>
      <c r="E3223" s="637"/>
      <c r="F3223" s="637"/>
      <c r="G3223" s="637"/>
      <c r="H3223" s="637"/>
      <c r="I3223" s="637"/>
      <c r="J3223" s="637"/>
    </row>
    <row r="3224" spans="1:10" x14ac:dyDescent="0.2">
      <c r="A3224" s="626"/>
      <c r="B3224" s="637"/>
      <c r="C3224" s="637"/>
      <c r="D3224" s="637"/>
      <c r="E3224" s="637"/>
      <c r="F3224" s="637"/>
      <c r="G3224" s="637"/>
      <c r="H3224" s="637"/>
      <c r="I3224" s="637"/>
      <c r="J3224" s="637"/>
    </row>
    <row r="3225" spans="1:10" x14ac:dyDescent="0.2">
      <c r="A3225" s="626"/>
      <c r="B3225" s="637"/>
      <c r="C3225" s="637"/>
      <c r="D3225" s="637"/>
      <c r="E3225" s="637"/>
      <c r="F3225" s="637"/>
      <c r="G3225" s="637"/>
      <c r="H3225" s="637"/>
      <c r="I3225" s="637"/>
      <c r="J3225" s="637"/>
    </row>
    <row r="3226" spans="1:10" x14ac:dyDescent="0.2">
      <c r="A3226" s="626"/>
      <c r="B3226" s="637"/>
      <c r="C3226" s="637"/>
      <c r="D3226" s="637"/>
      <c r="E3226" s="637"/>
      <c r="F3226" s="637"/>
      <c r="G3226" s="637"/>
      <c r="H3226" s="637"/>
      <c r="I3226" s="637"/>
      <c r="J3226" s="637"/>
    </row>
    <row r="3227" spans="1:10" x14ac:dyDescent="0.2">
      <c r="A3227" s="626"/>
      <c r="B3227" s="637"/>
      <c r="C3227" s="637"/>
      <c r="D3227" s="637"/>
      <c r="E3227" s="637"/>
      <c r="F3227" s="637"/>
      <c r="G3227" s="637"/>
      <c r="H3227" s="637"/>
      <c r="I3227" s="637"/>
      <c r="J3227" s="637"/>
    </row>
    <row r="3228" spans="1:10" x14ac:dyDescent="0.2">
      <c r="A3228" s="626"/>
      <c r="B3228" s="637"/>
      <c r="C3228" s="637"/>
      <c r="D3228" s="637"/>
      <c r="E3228" s="637"/>
      <c r="F3228" s="637"/>
      <c r="G3228" s="637"/>
      <c r="H3228" s="637"/>
      <c r="I3228" s="637"/>
      <c r="J3228" s="637"/>
    </row>
    <row r="3229" spans="1:10" x14ac:dyDescent="0.2">
      <c r="A3229" s="626"/>
      <c r="B3229" s="637"/>
      <c r="C3229" s="637"/>
      <c r="D3229" s="637"/>
      <c r="E3229" s="637"/>
      <c r="F3229" s="637"/>
      <c r="G3229" s="637"/>
      <c r="H3229" s="637"/>
      <c r="I3229" s="637"/>
      <c r="J3229" s="637"/>
    </row>
    <row r="3230" spans="1:10" x14ac:dyDescent="0.2">
      <c r="A3230" s="626"/>
      <c r="B3230" s="637"/>
      <c r="C3230" s="637"/>
      <c r="D3230" s="637"/>
      <c r="E3230" s="637"/>
      <c r="F3230" s="637"/>
      <c r="G3230" s="637"/>
      <c r="H3230" s="637"/>
      <c r="I3230" s="637"/>
      <c r="J3230" s="637"/>
    </row>
    <row r="3231" spans="1:10" x14ac:dyDescent="0.2">
      <c r="A3231" s="626"/>
      <c r="B3231" s="637"/>
      <c r="C3231" s="637"/>
      <c r="D3231" s="637"/>
      <c r="E3231" s="637"/>
      <c r="F3231" s="637"/>
      <c r="G3231" s="637"/>
      <c r="H3231" s="637"/>
      <c r="I3231" s="637"/>
      <c r="J3231" s="637"/>
    </row>
    <row r="3232" spans="1:10" x14ac:dyDescent="0.2">
      <c r="A3232" s="626"/>
      <c r="B3232" s="637"/>
      <c r="C3232" s="637"/>
      <c r="D3232" s="637"/>
      <c r="E3232" s="637"/>
      <c r="F3232" s="637"/>
      <c r="G3232" s="637"/>
      <c r="H3232" s="637"/>
      <c r="I3232" s="637"/>
      <c r="J3232" s="637"/>
    </row>
    <row r="3233" spans="1:10" x14ac:dyDescent="0.2">
      <c r="A3233" s="626"/>
      <c r="B3233" s="637"/>
      <c r="C3233" s="637"/>
      <c r="D3233" s="637"/>
      <c r="E3233" s="637"/>
      <c r="F3233" s="637"/>
      <c r="G3233" s="637"/>
      <c r="H3233" s="637"/>
      <c r="I3233" s="637"/>
      <c r="J3233" s="637"/>
    </row>
    <row r="3234" spans="1:10" x14ac:dyDescent="0.2">
      <c r="A3234" s="626"/>
      <c r="B3234" s="637"/>
      <c r="C3234" s="637"/>
      <c r="D3234" s="637"/>
      <c r="E3234" s="637"/>
      <c r="F3234" s="637"/>
      <c r="G3234" s="637"/>
      <c r="H3234" s="637"/>
      <c r="I3234" s="637"/>
      <c r="J3234" s="637"/>
    </row>
    <row r="3235" spans="1:10" x14ac:dyDescent="0.2">
      <c r="A3235" s="626"/>
      <c r="B3235" s="637"/>
      <c r="C3235" s="637"/>
      <c r="D3235" s="637"/>
      <c r="E3235" s="637"/>
      <c r="F3235" s="637"/>
      <c r="G3235" s="637"/>
      <c r="H3235" s="637"/>
      <c r="I3235" s="637"/>
      <c r="J3235" s="637"/>
    </row>
    <row r="3236" spans="1:10" x14ac:dyDescent="0.2">
      <c r="A3236" s="626"/>
      <c r="B3236" s="637"/>
      <c r="C3236" s="637"/>
      <c r="D3236" s="637"/>
      <c r="E3236" s="637"/>
      <c r="F3236" s="637"/>
      <c r="G3236" s="637"/>
      <c r="H3236" s="637"/>
      <c r="I3236" s="637"/>
      <c r="J3236" s="637"/>
    </row>
    <row r="3237" spans="1:10" x14ac:dyDescent="0.2">
      <c r="A3237" s="626"/>
      <c r="B3237" s="637"/>
      <c r="C3237" s="637"/>
      <c r="D3237" s="637"/>
      <c r="E3237" s="637"/>
      <c r="F3237" s="637"/>
      <c r="G3237" s="637"/>
      <c r="H3237" s="637"/>
      <c r="I3237" s="637"/>
      <c r="J3237" s="637"/>
    </row>
    <row r="3238" spans="1:10" x14ac:dyDescent="0.2">
      <c r="A3238" s="626"/>
      <c r="B3238" s="637"/>
      <c r="C3238" s="637"/>
      <c r="D3238" s="637"/>
      <c r="E3238" s="637"/>
      <c r="F3238" s="637"/>
      <c r="G3238" s="637"/>
      <c r="H3238" s="637"/>
      <c r="I3238" s="637"/>
      <c r="J3238" s="637"/>
    </row>
    <row r="3239" spans="1:10" x14ac:dyDescent="0.2">
      <c r="A3239" s="626"/>
      <c r="B3239" s="637"/>
      <c r="C3239" s="637"/>
      <c r="D3239" s="637"/>
      <c r="E3239" s="637"/>
      <c r="F3239" s="637"/>
      <c r="G3239" s="637"/>
      <c r="H3239" s="637"/>
      <c r="I3239" s="637"/>
      <c r="J3239" s="637"/>
    </row>
    <row r="3240" spans="1:10" x14ac:dyDescent="0.2">
      <c r="A3240" s="626"/>
      <c r="B3240" s="637"/>
      <c r="C3240" s="637"/>
      <c r="D3240" s="637"/>
      <c r="E3240" s="637"/>
      <c r="F3240" s="637"/>
      <c r="G3240" s="637"/>
      <c r="H3240" s="637"/>
      <c r="I3240" s="637"/>
      <c r="J3240" s="637"/>
    </row>
    <row r="3241" spans="1:10" x14ac:dyDescent="0.2">
      <c r="A3241" s="626"/>
      <c r="B3241" s="637"/>
      <c r="C3241" s="637"/>
      <c r="D3241" s="637"/>
      <c r="E3241" s="637"/>
      <c r="F3241" s="637"/>
      <c r="G3241" s="637"/>
      <c r="H3241" s="637"/>
      <c r="I3241" s="637"/>
      <c r="J3241" s="637"/>
    </row>
    <row r="3242" spans="1:10" x14ac:dyDescent="0.2">
      <c r="A3242" s="626"/>
      <c r="B3242" s="637"/>
      <c r="C3242" s="637"/>
      <c r="D3242" s="637"/>
      <c r="E3242" s="637"/>
      <c r="F3242" s="637"/>
      <c r="G3242" s="637"/>
      <c r="H3242" s="637"/>
      <c r="I3242" s="637"/>
      <c r="J3242" s="637"/>
    </row>
    <row r="3243" spans="1:10" x14ac:dyDescent="0.2">
      <c r="A3243" s="626"/>
      <c r="B3243" s="637"/>
      <c r="C3243" s="637"/>
      <c r="D3243" s="637"/>
      <c r="E3243" s="637"/>
      <c r="F3243" s="637"/>
      <c r="G3243" s="637"/>
      <c r="H3243" s="637"/>
      <c r="I3243" s="637"/>
      <c r="J3243" s="637"/>
    </row>
    <row r="3244" spans="1:10" x14ac:dyDescent="0.2">
      <c r="A3244" s="626"/>
      <c r="B3244" s="637"/>
      <c r="C3244" s="637"/>
      <c r="D3244" s="637"/>
      <c r="E3244" s="637"/>
      <c r="F3244" s="637"/>
      <c r="G3244" s="637"/>
      <c r="H3244" s="637"/>
      <c r="I3244" s="637"/>
      <c r="J3244" s="637"/>
    </row>
    <row r="3245" spans="1:10" x14ac:dyDescent="0.2">
      <c r="A3245" s="626"/>
      <c r="B3245" s="637"/>
      <c r="C3245" s="637"/>
      <c r="D3245" s="637"/>
      <c r="E3245" s="637"/>
      <c r="F3245" s="637"/>
      <c r="G3245" s="637"/>
      <c r="H3245" s="637"/>
      <c r="I3245" s="637"/>
      <c r="J3245" s="637"/>
    </row>
    <row r="3246" spans="1:10" x14ac:dyDescent="0.2">
      <c r="A3246" s="626"/>
      <c r="B3246" s="637"/>
      <c r="C3246" s="637"/>
      <c r="D3246" s="637"/>
      <c r="E3246" s="637"/>
      <c r="F3246" s="637"/>
      <c r="G3246" s="637"/>
      <c r="H3246" s="637"/>
      <c r="I3246" s="637"/>
      <c r="J3246" s="637"/>
    </row>
    <row r="3247" spans="1:10" x14ac:dyDescent="0.2">
      <c r="A3247" s="626"/>
      <c r="B3247" s="637"/>
      <c r="C3247" s="637"/>
      <c r="D3247" s="637"/>
      <c r="E3247" s="637"/>
      <c r="F3247" s="637"/>
      <c r="G3247" s="637"/>
      <c r="H3247" s="637"/>
      <c r="I3247" s="637"/>
      <c r="J3247" s="637"/>
    </row>
    <row r="3248" spans="1:10" x14ac:dyDescent="0.2">
      <c r="A3248" s="626"/>
      <c r="B3248" s="637"/>
      <c r="C3248" s="637"/>
      <c r="D3248" s="637"/>
      <c r="E3248" s="637"/>
      <c r="F3248" s="637"/>
      <c r="G3248" s="637"/>
      <c r="H3248" s="637"/>
      <c r="I3248" s="637"/>
      <c r="J3248" s="637"/>
    </row>
    <row r="3249" spans="1:10" x14ac:dyDescent="0.2">
      <c r="A3249" s="626"/>
      <c r="B3249" s="637"/>
      <c r="C3249" s="637"/>
      <c r="D3249" s="637"/>
      <c r="E3249" s="637"/>
      <c r="F3249" s="637"/>
      <c r="G3249" s="637"/>
      <c r="H3249" s="637"/>
      <c r="I3249" s="637"/>
      <c r="J3249" s="637"/>
    </row>
    <row r="3250" spans="1:10" x14ac:dyDescent="0.2">
      <c r="A3250" s="626"/>
      <c r="B3250" s="637"/>
      <c r="C3250" s="637"/>
      <c r="D3250" s="637"/>
      <c r="E3250" s="637"/>
      <c r="F3250" s="637"/>
      <c r="G3250" s="637"/>
      <c r="H3250" s="637"/>
      <c r="I3250" s="637"/>
      <c r="J3250" s="637"/>
    </row>
    <row r="3251" spans="1:10" x14ac:dyDescent="0.2">
      <c r="A3251" s="626"/>
      <c r="B3251" s="637"/>
      <c r="C3251" s="637"/>
      <c r="D3251" s="637"/>
      <c r="E3251" s="637"/>
      <c r="F3251" s="637"/>
      <c r="G3251" s="637"/>
      <c r="H3251" s="637"/>
      <c r="I3251" s="637"/>
      <c r="J3251" s="637"/>
    </row>
    <row r="3252" spans="1:10" x14ac:dyDescent="0.2">
      <c r="A3252" s="626"/>
      <c r="B3252" s="637"/>
      <c r="C3252" s="637"/>
      <c r="D3252" s="637"/>
      <c r="E3252" s="637"/>
      <c r="F3252" s="637"/>
      <c r="G3252" s="637"/>
      <c r="H3252" s="637"/>
      <c r="I3252" s="637"/>
      <c r="J3252" s="637"/>
    </row>
    <row r="3253" spans="1:10" x14ac:dyDescent="0.2">
      <c r="A3253" s="626"/>
      <c r="B3253" s="637"/>
      <c r="C3253" s="637"/>
      <c r="D3253" s="637"/>
      <c r="E3253" s="637"/>
      <c r="F3253" s="637"/>
      <c r="G3253" s="637"/>
      <c r="H3253" s="637"/>
      <c r="I3253" s="637"/>
      <c r="J3253" s="637"/>
    </row>
    <row r="3254" spans="1:10" x14ac:dyDescent="0.2">
      <c r="A3254" s="626"/>
      <c r="B3254" s="637"/>
      <c r="C3254" s="637"/>
      <c r="D3254" s="637"/>
      <c r="E3254" s="637"/>
      <c r="F3254" s="637"/>
      <c r="G3254" s="637"/>
      <c r="H3254" s="637"/>
      <c r="I3254" s="637"/>
      <c r="J3254" s="637"/>
    </row>
    <row r="3255" spans="1:10" x14ac:dyDescent="0.2">
      <c r="A3255" s="626"/>
      <c r="B3255" s="637"/>
      <c r="C3255" s="637"/>
      <c r="D3255" s="637"/>
      <c r="E3255" s="637"/>
      <c r="F3255" s="637"/>
      <c r="G3255" s="637"/>
      <c r="H3255" s="637"/>
      <c r="I3255" s="637"/>
      <c r="J3255" s="637"/>
    </row>
    <row r="3256" spans="1:10" x14ac:dyDescent="0.2">
      <c r="A3256" s="626"/>
      <c r="B3256" s="637"/>
      <c r="C3256" s="637"/>
      <c r="D3256" s="637"/>
      <c r="E3256" s="637"/>
      <c r="F3256" s="637"/>
      <c r="G3256" s="637"/>
      <c r="H3256" s="637"/>
      <c r="I3256" s="637"/>
      <c r="J3256" s="637"/>
    </row>
    <row r="3257" spans="1:10" x14ac:dyDescent="0.2">
      <c r="A3257" s="626"/>
      <c r="B3257" s="637"/>
      <c r="C3257" s="637"/>
      <c r="D3257" s="637"/>
      <c r="E3257" s="637"/>
      <c r="F3257" s="637"/>
      <c r="G3257" s="637"/>
      <c r="H3257" s="637"/>
      <c r="I3257" s="637"/>
      <c r="J3257" s="637"/>
    </row>
    <row r="3258" spans="1:10" x14ac:dyDescent="0.2">
      <c r="A3258" s="626"/>
      <c r="B3258" s="637"/>
      <c r="C3258" s="637"/>
      <c r="D3258" s="637"/>
      <c r="E3258" s="637"/>
      <c r="F3258" s="637"/>
      <c r="G3258" s="637"/>
      <c r="H3258" s="637"/>
      <c r="I3258" s="637"/>
      <c r="J3258" s="637"/>
    </row>
    <row r="3259" spans="1:10" x14ac:dyDescent="0.2">
      <c r="A3259" s="626"/>
      <c r="B3259" s="637"/>
      <c r="C3259" s="637"/>
      <c r="D3259" s="637"/>
      <c r="E3259" s="637"/>
      <c r="F3259" s="637"/>
      <c r="G3259" s="637"/>
      <c r="H3259" s="637"/>
      <c r="I3259" s="637"/>
      <c r="J3259" s="637"/>
    </row>
    <row r="3260" spans="1:10" x14ac:dyDescent="0.2">
      <c r="A3260" s="626"/>
      <c r="B3260" s="637"/>
      <c r="C3260" s="637"/>
      <c r="D3260" s="637"/>
      <c r="E3260" s="637"/>
      <c r="F3260" s="637"/>
      <c r="G3260" s="637"/>
      <c r="H3260" s="637"/>
      <c r="I3260" s="637"/>
      <c r="J3260" s="637"/>
    </row>
    <row r="3261" spans="1:10" x14ac:dyDescent="0.2">
      <c r="A3261" s="626"/>
      <c r="B3261" s="637"/>
      <c r="C3261" s="637"/>
      <c r="D3261" s="637"/>
      <c r="E3261" s="637"/>
      <c r="F3261" s="637"/>
      <c r="G3261" s="637"/>
      <c r="H3261" s="637"/>
      <c r="I3261" s="637"/>
      <c r="J3261" s="637"/>
    </row>
    <row r="3262" spans="1:10" x14ac:dyDescent="0.2">
      <c r="A3262" s="626"/>
      <c r="B3262" s="637"/>
      <c r="C3262" s="637"/>
      <c r="D3262" s="637"/>
      <c r="E3262" s="637"/>
      <c r="F3262" s="637"/>
      <c r="G3262" s="637"/>
      <c r="H3262" s="637"/>
      <c r="I3262" s="637"/>
      <c r="J3262" s="637"/>
    </row>
    <row r="3263" spans="1:10" x14ac:dyDescent="0.2">
      <c r="A3263" s="626"/>
      <c r="B3263" s="637"/>
      <c r="C3263" s="637"/>
      <c r="D3263" s="637"/>
      <c r="E3263" s="637"/>
      <c r="F3263" s="637"/>
      <c r="G3263" s="637"/>
      <c r="H3263" s="637"/>
      <c r="I3263" s="637"/>
      <c r="J3263" s="637"/>
    </row>
    <row r="3264" spans="1:10" x14ac:dyDescent="0.2">
      <c r="A3264" s="626"/>
      <c r="B3264" s="637"/>
      <c r="C3264" s="637"/>
      <c r="D3264" s="637"/>
      <c r="E3264" s="637"/>
      <c r="F3264" s="637"/>
      <c r="G3264" s="637"/>
      <c r="H3264" s="637"/>
      <c r="I3264" s="637"/>
      <c r="J3264" s="637"/>
    </row>
    <row r="3265" spans="1:10" x14ac:dyDescent="0.2">
      <c r="A3265" s="626"/>
      <c r="B3265" s="637"/>
      <c r="C3265" s="637"/>
      <c r="D3265" s="637"/>
      <c r="E3265" s="637"/>
      <c r="F3265" s="637"/>
      <c r="G3265" s="637"/>
      <c r="H3265" s="637"/>
      <c r="I3265" s="637"/>
      <c r="J3265" s="637"/>
    </row>
    <row r="3266" spans="1:10" x14ac:dyDescent="0.2">
      <c r="A3266" s="626"/>
      <c r="B3266" s="637"/>
      <c r="C3266" s="637"/>
      <c r="D3266" s="637"/>
      <c r="E3266" s="637"/>
      <c r="F3266" s="637"/>
      <c r="G3266" s="637"/>
      <c r="H3266" s="637"/>
      <c r="I3266" s="637"/>
      <c r="J3266" s="637"/>
    </row>
    <row r="3267" spans="1:10" x14ac:dyDescent="0.2">
      <c r="A3267" s="626"/>
      <c r="B3267" s="637"/>
      <c r="C3267" s="637"/>
      <c r="D3267" s="637"/>
      <c r="E3267" s="637"/>
      <c r="F3267" s="637"/>
      <c r="G3267" s="637"/>
      <c r="H3267" s="637"/>
      <c r="I3267" s="637"/>
      <c r="J3267" s="637"/>
    </row>
    <row r="3268" spans="1:10" x14ac:dyDescent="0.2">
      <c r="A3268" s="626"/>
      <c r="B3268" s="637"/>
      <c r="C3268" s="637"/>
      <c r="D3268" s="637"/>
      <c r="E3268" s="637"/>
      <c r="F3268" s="637"/>
      <c r="G3268" s="637"/>
      <c r="H3268" s="637"/>
      <c r="I3268" s="637"/>
      <c r="J3268" s="637"/>
    </row>
    <row r="3269" spans="1:10" x14ac:dyDescent="0.2">
      <c r="A3269" s="626"/>
      <c r="B3269" s="637"/>
      <c r="C3269" s="637"/>
      <c r="D3269" s="637"/>
      <c r="E3269" s="637"/>
      <c r="F3269" s="637"/>
      <c r="G3269" s="637"/>
      <c r="H3269" s="637"/>
      <c r="I3269" s="637"/>
      <c r="J3269" s="637"/>
    </row>
    <row r="3270" spans="1:10" x14ac:dyDescent="0.2">
      <c r="A3270" s="626"/>
      <c r="B3270" s="637"/>
      <c r="C3270" s="637"/>
      <c r="D3270" s="637"/>
      <c r="E3270" s="637"/>
      <c r="F3270" s="637"/>
      <c r="G3270" s="637"/>
      <c r="H3270" s="637"/>
      <c r="I3270" s="637"/>
      <c r="J3270" s="637"/>
    </row>
    <row r="3271" spans="1:10" x14ac:dyDescent="0.2">
      <c r="A3271" s="626"/>
      <c r="B3271" s="637"/>
      <c r="C3271" s="637"/>
      <c r="D3271" s="637"/>
      <c r="E3271" s="637"/>
      <c r="F3271" s="637"/>
      <c r="G3271" s="637"/>
      <c r="H3271" s="637"/>
      <c r="I3271" s="637"/>
      <c r="J3271" s="637"/>
    </row>
    <row r="3272" spans="1:10" x14ac:dyDescent="0.2">
      <c r="A3272" s="626"/>
      <c r="B3272" s="637"/>
      <c r="C3272" s="637"/>
      <c r="D3272" s="637"/>
      <c r="E3272" s="637"/>
      <c r="F3272" s="637"/>
      <c r="G3272" s="637"/>
      <c r="H3272" s="637"/>
      <c r="I3272" s="637"/>
      <c r="J3272" s="637"/>
    </row>
    <row r="3273" spans="1:10" x14ac:dyDescent="0.2">
      <c r="A3273" s="626"/>
      <c r="B3273" s="637"/>
      <c r="C3273" s="637"/>
      <c r="D3273" s="637"/>
      <c r="E3273" s="637"/>
      <c r="F3273" s="637"/>
      <c r="G3273" s="637"/>
      <c r="H3273" s="637"/>
      <c r="I3273" s="637"/>
      <c r="J3273" s="637"/>
    </row>
    <row r="3274" spans="1:10" x14ac:dyDescent="0.2">
      <c r="A3274" s="626"/>
      <c r="B3274" s="637"/>
      <c r="C3274" s="637"/>
      <c r="D3274" s="637"/>
      <c r="E3274" s="637"/>
      <c r="F3274" s="637"/>
      <c r="G3274" s="637"/>
      <c r="H3274" s="637"/>
      <c r="I3274" s="637"/>
      <c r="J3274" s="637"/>
    </row>
    <row r="3275" spans="1:10" x14ac:dyDescent="0.2">
      <c r="A3275" s="626"/>
      <c r="B3275" s="637"/>
      <c r="C3275" s="637"/>
      <c r="D3275" s="637"/>
      <c r="E3275" s="637"/>
      <c r="F3275" s="637"/>
      <c r="G3275" s="637"/>
      <c r="H3275" s="637"/>
      <c r="I3275" s="637"/>
      <c r="J3275" s="637"/>
    </row>
    <row r="3276" spans="1:10" x14ac:dyDescent="0.2">
      <c r="A3276" s="626"/>
      <c r="B3276" s="637"/>
      <c r="C3276" s="637"/>
      <c r="D3276" s="637"/>
      <c r="E3276" s="637"/>
      <c r="F3276" s="637"/>
      <c r="G3276" s="637"/>
      <c r="H3276" s="637"/>
      <c r="I3276" s="637"/>
      <c r="J3276" s="637"/>
    </row>
    <row r="3277" spans="1:10" x14ac:dyDescent="0.2">
      <c r="A3277" s="626"/>
      <c r="B3277" s="637"/>
      <c r="C3277" s="637"/>
      <c r="D3277" s="637"/>
      <c r="E3277" s="637"/>
      <c r="F3277" s="637"/>
      <c r="G3277" s="637"/>
      <c r="H3277" s="637"/>
      <c r="I3277" s="637"/>
      <c r="J3277" s="637"/>
    </row>
    <row r="3278" spans="1:10" x14ac:dyDescent="0.2">
      <c r="A3278" s="626"/>
      <c r="B3278" s="637"/>
      <c r="C3278" s="637"/>
      <c r="D3278" s="637"/>
      <c r="E3278" s="637"/>
      <c r="F3278" s="637"/>
      <c r="G3278" s="637"/>
      <c r="H3278" s="637"/>
      <c r="I3278" s="637"/>
      <c r="J3278" s="637"/>
    </row>
    <row r="3279" spans="1:10" x14ac:dyDescent="0.2">
      <c r="A3279" s="626"/>
      <c r="B3279" s="637"/>
      <c r="C3279" s="637"/>
      <c r="D3279" s="637"/>
      <c r="E3279" s="637"/>
      <c r="F3279" s="637"/>
      <c r="G3279" s="637"/>
      <c r="H3279" s="637"/>
      <c r="I3279" s="637"/>
      <c r="J3279" s="637"/>
    </row>
    <row r="3280" spans="1:10" x14ac:dyDescent="0.2">
      <c r="A3280" s="626"/>
      <c r="B3280" s="637"/>
      <c r="C3280" s="637"/>
      <c r="D3280" s="637"/>
      <c r="E3280" s="637"/>
      <c r="F3280" s="637"/>
      <c r="G3280" s="637"/>
      <c r="H3280" s="637"/>
      <c r="I3280" s="637"/>
      <c r="J3280" s="637"/>
    </row>
    <row r="3281" spans="1:10" x14ac:dyDescent="0.2">
      <c r="A3281" s="626"/>
      <c r="B3281" s="637"/>
      <c r="C3281" s="637"/>
      <c r="D3281" s="637"/>
      <c r="E3281" s="637"/>
      <c r="F3281" s="637"/>
      <c r="G3281" s="637"/>
      <c r="H3281" s="637"/>
      <c r="I3281" s="637"/>
      <c r="J3281" s="637"/>
    </row>
    <row r="3282" spans="1:10" x14ac:dyDescent="0.2">
      <c r="A3282" s="626"/>
      <c r="B3282" s="637"/>
      <c r="C3282" s="637"/>
      <c r="D3282" s="637"/>
      <c r="E3282" s="637"/>
      <c r="F3282" s="637"/>
      <c r="G3282" s="637"/>
      <c r="H3282" s="637"/>
      <c r="I3282" s="637"/>
      <c r="J3282" s="637"/>
    </row>
    <row r="3283" spans="1:10" x14ac:dyDescent="0.2">
      <c r="A3283" s="626"/>
      <c r="B3283" s="637"/>
      <c r="C3283" s="637"/>
      <c r="D3283" s="637"/>
      <c r="E3283" s="637"/>
      <c r="F3283" s="637"/>
      <c r="G3283" s="637"/>
      <c r="H3283" s="637"/>
      <c r="I3283" s="637"/>
      <c r="J3283" s="637"/>
    </row>
    <row r="3284" spans="1:10" x14ac:dyDescent="0.2">
      <c r="A3284" s="626"/>
      <c r="B3284" s="637"/>
      <c r="C3284" s="637"/>
      <c r="D3284" s="637"/>
      <c r="E3284" s="637"/>
      <c r="F3284" s="637"/>
      <c r="G3284" s="637"/>
      <c r="H3284" s="637"/>
      <c r="I3284" s="637"/>
      <c r="J3284" s="637"/>
    </row>
    <row r="3285" spans="1:10" x14ac:dyDescent="0.2">
      <c r="A3285" s="626"/>
      <c r="B3285" s="637"/>
      <c r="C3285" s="637"/>
      <c r="D3285" s="637"/>
      <c r="E3285" s="637"/>
      <c r="F3285" s="637"/>
      <c r="G3285" s="637"/>
      <c r="H3285" s="637"/>
      <c r="I3285" s="637"/>
      <c r="J3285" s="637"/>
    </row>
    <row r="3286" spans="1:10" x14ac:dyDescent="0.2">
      <c r="A3286" s="626"/>
      <c r="B3286" s="637"/>
      <c r="C3286" s="637"/>
      <c r="D3286" s="637"/>
      <c r="E3286" s="637"/>
      <c r="F3286" s="637"/>
      <c r="G3286" s="637"/>
      <c r="H3286" s="637"/>
      <c r="I3286" s="637"/>
      <c r="J3286" s="637"/>
    </row>
    <row r="3287" spans="1:10" x14ac:dyDescent="0.2">
      <c r="A3287" s="626"/>
      <c r="B3287" s="637"/>
      <c r="C3287" s="637"/>
      <c r="D3287" s="637"/>
      <c r="E3287" s="637"/>
      <c r="F3287" s="637"/>
      <c r="G3287" s="637"/>
      <c r="H3287" s="637"/>
      <c r="I3287" s="637"/>
      <c r="J3287" s="637"/>
    </row>
    <row r="3288" spans="1:10" x14ac:dyDescent="0.2">
      <c r="A3288" s="626"/>
      <c r="B3288" s="637"/>
      <c r="C3288" s="637"/>
      <c r="D3288" s="637"/>
      <c r="E3288" s="637"/>
      <c r="F3288" s="637"/>
      <c r="G3288" s="637"/>
      <c r="H3288" s="637"/>
      <c r="I3288" s="637"/>
      <c r="J3288" s="637"/>
    </row>
    <row r="3289" spans="1:10" x14ac:dyDescent="0.2">
      <c r="A3289" s="626"/>
      <c r="B3289" s="637"/>
      <c r="C3289" s="637"/>
      <c r="D3289" s="637"/>
      <c r="E3289" s="637"/>
      <c r="F3289" s="637"/>
      <c r="G3289" s="637"/>
      <c r="H3289" s="637"/>
      <c r="I3289" s="637"/>
      <c r="J3289" s="637"/>
    </row>
    <row r="3290" spans="1:10" x14ac:dyDescent="0.2">
      <c r="A3290" s="626"/>
      <c r="B3290" s="637"/>
      <c r="C3290" s="637"/>
      <c r="D3290" s="637"/>
      <c r="E3290" s="637"/>
      <c r="F3290" s="637"/>
      <c r="G3290" s="637"/>
      <c r="H3290" s="637"/>
      <c r="I3290" s="637"/>
      <c r="J3290" s="637"/>
    </row>
    <row r="3291" spans="1:10" x14ac:dyDescent="0.2">
      <c r="A3291" s="626"/>
      <c r="B3291" s="637"/>
      <c r="C3291" s="637"/>
      <c r="D3291" s="637"/>
      <c r="E3291" s="637"/>
      <c r="F3291" s="637"/>
      <c r="G3291" s="637"/>
      <c r="H3291" s="637"/>
      <c r="I3291" s="637"/>
      <c r="J3291" s="637"/>
    </row>
    <row r="3292" spans="1:10" x14ac:dyDescent="0.2">
      <c r="A3292" s="626"/>
      <c r="B3292" s="637"/>
      <c r="C3292" s="637"/>
      <c r="D3292" s="637"/>
      <c r="E3292" s="637"/>
      <c r="F3292" s="637"/>
      <c r="G3292" s="637"/>
      <c r="H3292" s="637"/>
      <c r="I3292" s="637"/>
      <c r="J3292" s="637"/>
    </row>
    <row r="3293" spans="1:10" x14ac:dyDescent="0.2">
      <c r="A3293" s="626"/>
      <c r="B3293" s="637"/>
      <c r="C3293" s="637"/>
      <c r="D3293" s="637"/>
      <c r="E3293" s="637"/>
      <c r="F3293" s="637"/>
      <c r="G3293" s="637"/>
      <c r="H3293" s="637"/>
      <c r="I3293" s="637"/>
      <c r="J3293" s="637"/>
    </row>
    <row r="3294" spans="1:10" x14ac:dyDescent="0.2">
      <c r="A3294" s="626"/>
      <c r="B3294" s="637"/>
      <c r="C3294" s="637"/>
      <c r="D3294" s="637"/>
      <c r="E3294" s="637"/>
      <c r="F3294" s="637"/>
      <c r="G3294" s="637"/>
      <c r="H3294" s="637"/>
      <c r="I3294" s="637"/>
      <c r="J3294" s="637"/>
    </row>
    <row r="3295" spans="1:10" x14ac:dyDescent="0.2">
      <c r="A3295" s="626"/>
      <c r="B3295" s="637"/>
      <c r="C3295" s="637"/>
      <c r="D3295" s="637"/>
      <c r="E3295" s="637"/>
      <c r="F3295" s="637"/>
      <c r="G3295" s="637"/>
      <c r="H3295" s="637"/>
      <c r="I3295" s="637"/>
      <c r="J3295" s="637"/>
    </row>
    <row r="3296" spans="1:10" x14ac:dyDescent="0.2">
      <c r="A3296" s="626"/>
      <c r="B3296" s="637"/>
      <c r="C3296" s="637"/>
      <c r="D3296" s="637"/>
      <c r="E3296" s="637"/>
      <c r="F3296" s="637"/>
      <c r="G3296" s="637"/>
      <c r="H3296" s="637"/>
      <c r="I3296" s="637"/>
      <c r="J3296" s="637"/>
    </row>
    <row r="3297" spans="1:10" x14ac:dyDescent="0.2">
      <c r="A3297" s="626"/>
      <c r="B3297" s="637"/>
      <c r="C3297" s="637"/>
      <c r="D3297" s="637"/>
      <c r="E3297" s="637"/>
      <c r="F3297" s="637"/>
      <c r="G3297" s="637"/>
      <c r="H3297" s="637"/>
      <c r="I3297" s="637"/>
      <c r="J3297" s="637"/>
    </row>
    <row r="3298" spans="1:10" x14ac:dyDescent="0.2">
      <c r="A3298" s="626"/>
      <c r="B3298" s="637"/>
      <c r="C3298" s="637"/>
      <c r="D3298" s="637"/>
      <c r="E3298" s="637"/>
      <c r="F3298" s="637"/>
      <c r="G3298" s="637"/>
      <c r="H3298" s="637"/>
      <c r="I3298" s="637"/>
      <c r="J3298" s="637"/>
    </row>
    <row r="3299" spans="1:10" x14ac:dyDescent="0.2">
      <c r="A3299" s="626"/>
      <c r="B3299" s="637"/>
      <c r="C3299" s="637"/>
      <c r="D3299" s="637"/>
      <c r="E3299" s="637"/>
      <c r="F3299" s="637"/>
      <c r="G3299" s="637"/>
      <c r="H3299" s="637"/>
      <c r="I3299" s="637"/>
      <c r="J3299" s="637"/>
    </row>
    <row r="3300" spans="1:10" x14ac:dyDescent="0.2">
      <c r="A3300" s="626"/>
      <c r="B3300" s="637"/>
      <c r="C3300" s="637"/>
      <c r="D3300" s="637"/>
      <c r="E3300" s="637"/>
      <c r="F3300" s="637"/>
      <c r="G3300" s="637"/>
      <c r="H3300" s="637"/>
      <c r="I3300" s="637"/>
      <c r="J3300" s="637"/>
    </row>
    <row r="3301" spans="1:10" x14ac:dyDescent="0.2">
      <c r="A3301" s="626"/>
      <c r="B3301" s="637"/>
      <c r="C3301" s="637"/>
      <c r="D3301" s="637"/>
      <c r="E3301" s="637"/>
      <c r="F3301" s="637"/>
      <c r="G3301" s="637"/>
      <c r="H3301" s="637"/>
      <c r="I3301" s="637"/>
      <c r="J3301" s="637"/>
    </row>
    <row r="3302" spans="1:10" x14ac:dyDescent="0.2">
      <c r="A3302" s="626"/>
      <c r="B3302" s="637"/>
      <c r="C3302" s="637"/>
      <c r="D3302" s="637"/>
      <c r="E3302" s="637"/>
      <c r="F3302" s="637"/>
      <c r="G3302" s="637"/>
      <c r="H3302" s="637"/>
      <c r="I3302" s="637"/>
      <c r="J3302" s="637"/>
    </row>
    <row r="3303" spans="1:10" x14ac:dyDescent="0.2">
      <c r="A3303" s="626"/>
      <c r="B3303" s="637"/>
      <c r="C3303" s="637"/>
      <c r="D3303" s="637"/>
      <c r="E3303" s="637"/>
      <c r="F3303" s="637"/>
      <c r="G3303" s="637"/>
      <c r="H3303" s="637"/>
      <c r="I3303" s="637"/>
      <c r="J3303" s="637"/>
    </row>
    <row r="3304" spans="1:10" x14ac:dyDescent="0.2">
      <c r="A3304" s="626"/>
      <c r="B3304" s="637"/>
      <c r="C3304" s="637"/>
      <c r="D3304" s="637"/>
      <c r="E3304" s="637"/>
      <c r="F3304" s="637"/>
      <c r="G3304" s="637"/>
      <c r="H3304" s="637"/>
      <c r="I3304" s="637"/>
      <c r="J3304" s="637"/>
    </row>
    <row r="3305" spans="1:10" x14ac:dyDescent="0.2">
      <c r="A3305" s="626"/>
      <c r="B3305" s="637"/>
      <c r="C3305" s="637"/>
      <c r="D3305" s="637"/>
      <c r="E3305" s="637"/>
      <c r="F3305" s="637"/>
      <c r="G3305" s="637"/>
      <c r="H3305" s="637"/>
      <c r="I3305" s="637"/>
      <c r="J3305" s="637"/>
    </row>
    <row r="3306" spans="1:10" x14ac:dyDescent="0.2">
      <c r="A3306" s="626"/>
      <c r="B3306" s="637"/>
      <c r="C3306" s="637"/>
      <c r="D3306" s="637"/>
      <c r="E3306" s="637"/>
      <c r="F3306" s="637"/>
      <c r="G3306" s="637"/>
      <c r="H3306" s="637"/>
      <c r="I3306" s="637"/>
      <c r="J3306" s="637"/>
    </row>
    <row r="3307" spans="1:10" x14ac:dyDescent="0.2">
      <c r="A3307" s="626"/>
      <c r="B3307" s="637"/>
      <c r="C3307" s="637"/>
      <c r="D3307" s="637"/>
      <c r="E3307" s="637"/>
      <c r="F3307" s="637"/>
      <c r="G3307" s="637"/>
      <c r="H3307" s="637"/>
      <c r="I3307" s="637"/>
      <c r="J3307" s="637"/>
    </row>
    <row r="3308" spans="1:10" x14ac:dyDescent="0.2">
      <c r="A3308" s="626"/>
      <c r="B3308" s="637"/>
      <c r="C3308" s="637"/>
      <c r="D3308" s="637"/>
      <c r="E3308" s="637"/>
      <c r="F3308" s="637"/>
      <c r="G3308" s="637"/>
      <c r="H3308" s="637"/>
      <c r="I3308" s="637"/>
      <c r="J3308" s="637"/>
    </row>
    <row r="3309" spans="1:10" x14ac:dyDescent="0.2">
      <c r="A3309" s="626"/>
      <c r="B3309" s="637"/>
      <c r="C3309" s="637"/>
      <c r="D3309" s="637"/>
      <c r="E3309" s="637"/>
      <c r="F3309" s="637"/>
      <c r="G3309" s="637"/>
      <c r="H3309" s="637"/>
      <c r="I3309" s="637"/>
      <c r="J3309" s="637"/>
    </row>
    <row r="3310" spans="1:10" x14ac:dyDescent="0.2">
      <c r="A3310" s="626"/>
      <c r="B3310" s="637"/>
      <c r="C3310" s="637"/>
      <c r="D3310" s="637"/>
      <c r="E3310" s="637"/>
      <c r="F3310" s="637"/>
      <c r="G3310" s="637"/>
      <c r="H3310" s="637"/>
      <c r="I3310" s="637"/>
      <c r="J3310" s="637"/>
    </row>
    <row r="3311" spans="1:10" x14ac:dyDescent="0.2">
      <c r="A3311" s="626"/>
      <c r="B3311" s="637"/>
      <c r="C3311" s="637"/>
      <c r="D3311" s="637"/>
      <c r="E3311" s="637"/>
      <c r="F3311" s="637"/>
      <c r="G3311" s="637"/>
      <c r="H3311" s="637"/>
      <c r="I3311" s="637"/>
      <c r="J3311" s="637"/>
    </row>
    <row r="3312" spans="1:10" x14ac:dyDescent="0.2">
      <c r="A3312" s="626"/>
      <c r="B3312" s="637"/>
      <c r="C3312" s="637"/>
      <c r="D3312" s="637"/>
      <c r="E3312" s="637"/>
      <c r="F3312" s="637"/>
      <c r="G3312" s="637"/>
      <c r="H3312" s="637"/>
      <c r="I3312" s="637"/>
      <c r="J3312" s="637"/>
    </row>
    <row r="3313" spans="1:10" x14ac:dyDescent="0.2">
      <c r="A3313" s="626"/>
      <c r="B3313" s="637"/>
      <c r="C3313" s="637"/>
      <c r="D3313" s="637"/>
      <c r="E3313" s="637"/>
      <c r="F3313" s="637"/>
      <c r="G3313" s="637"/>
      <c r="H3313" s="637"/>
      <c r="I3313" s="637"/>
      <c r="J3313" s="637"/>
    </row>
    <row r="3314" spans="1:10" x14ac:dyDescent="0.2">
      <c r="A3314" s="626"/>
      <c r="B3314" s="637"/>
      <c r="C3314" s="637"/>
      <c r="D3314" s="637"/>
      <c r="E3314" s="637"/>
      <c r="F3314" s="637"/>
      <c r="G3314" s="637"/>
      <c r="H3314" s="637"/>
      <c r="I3314" s="637"/>
      <c r="J3314" s="637"/>
    </row>
    <row r="3315" spans="1:10" x14ac:dyDescent="0.2">
      <c r="A3315" s="626"/>
      <c r="B3315" s="637"/>
      <c r="C3315" s="637"/>
      <c r="D3315" s="637"/>
      <c r="E3315" s="637"/>
      <c r="F3315" s="637"/>
      <c r="G3315" s="637"/>
      <c r="H3315" s="637"/>
      <c r="I3315" s="637"/>
      <c r="J3315" s="637"/>
    </row>
    <row r="3316" spans="1:10" x14ac:dyDescent="0.2">
      <c r="A3316" s="626"/>
      <c r="B3316" s="637"/>
      <c r="C3316" s="637"/>
      <c r="D3316" s="637"/>
      <c r="E3316" s="637"/>
      <c r="F3316" s="637"/>
      <c r="G3316" s="637"/>
      <c r="H3316" s="637"/>
      <c r="I3316" s="637"/>
      <c r="J3316" s="637"/>
    </row>
    <row r="3317" spans="1:10" x14ac:dyDescent="0.2">
      <c r="A3317" s="626"/>
      <c r="B3317" s="637"/>
      <c r="C3317" s="637"/>
      <c r="D3317" s="637"/>
      <c r="E3317" s="637"/>
      <c r="F3317" s="637"/>
      <c r="G3317" s="637"/>
      <c r="H3317" s="637"/>
      <c r="I3317" s="637"/>
      <c r="J3317" s="637"/>
    </row>
    <row r="3318" spans="1:10" x14ac:dyDescent="0.2">
      <c r="A3318" s="626"/>
      <c r="B3318" s="637"/>
      <c r="C3318" s="637"/>
      <c r="D3318" s="637"/>
      <c r="E3318" s="637"/>
      <c r="F3318" s="637"/>
      <c r="G3318" s="637"/>
      <c r="H3318" s="637"/>
      <c r="I3318" s="637"/>
      <c r="J3318" s="637"/>
    </row>
    <row r="3319" spans="1:10" x14ac:dyDescent="0.2">
      <c r="A3319" s="626"/>
      <c r="B3319" s="637"/>
      <c r="C3319" s="637"/>
      <c r="D3319" s="637"/>
      <c r="E3319" s="637"/>
      <c r="F3319" s="637"/>
      <c r="G3319" s="637"/>
      <c r="H3319" s="637"/>
      <c r="I3319" s="637"/>
      <c r="J3319" s="637"/>
    </row>
    <row r="3320" spans="1:10" x14ac:dyDescent="0.2">
      <c r="A3320" s="626"/>
      <c r="B3320" s="637"/>
      <c r="C3320" s="637"/>
      <c r="D3320" s="637"/>
      <c r="E3320" s="637"/>
      <c r="F3320" s="637"/>
      <c r="G3320" s="637"/>
      <c r="H3320" s="637"/>
      <c r="I3320" s="637"/>
      <c r="J3320" s="637"/>
    </row>
    <row r="3321" spans="1:10" x14ac:dyDescent="0.2">
      <c r="A3321" s="626"/>
      <c r="B3321" s="637"/>
      <c r="C3321" s="637"/>
      <c r="D3321" s="637"/>
      <c r="E3321" s="637"/>
      <c r="F3321" s="637"/>
      <c r="G3321" s="637"/>
      <c r="H3321" s="637"/>
      <c r="I3321" s="637"/>
      <c r="J3321" s="637"/>
    </row>
    <row r="3322" spans="1:10" x14ac:dyDescent="0.2">
      <c r="A3322" s="626"/>
      <c r="B3322" s="637"/>
      <c r="C3322" s="637"/>
      <c r="D3322" s="637"/>
      <c r="E3322" s="637"/>
      <c r="F3322" s="637"/>
      <c r="G3322" s="637"/>
      <c r="H3322" s="637"/>
      <c r="I3322" s="637"/>
      <c r="J3322" s="637"/>
    </row>
    <row r="3323" spans="1:10" x14ac:dyDescent="0.2">
      <c r="A3323" s="626"/>
      <c r="B3323" s="637"/>
      <c r="C3323" s="637"/>
      <c r="D3323" s="637"/>
      <c r="E3323" s="637"/>
      <c r="F3323" s="637"/>
      <c r="G3323" s="637"/>
      <c r="H3323" s="637"/>
      <c r="I3323" s="637"/>
      <c r="J3323" s="637"/>
    </row>
    <row r="3324" spans="1:10" x14ac:dyDescent="0.2">
      <c r="A3324" s="626"/>
      <c r="B3324" s="637"/>
      <c r="C3324" s="637"/>
      <c r="D3324" s="637"/>
      <c r="E3324" s="637"/>
      <c r="F3324" s="637"/>
      <c r="G3324" s="637"/>
      <c r="H3324" s="637"/>
      <c r="I3324" s="637"/>
      <c r="J3324" s="637"/>
    </row>
    <row r="3325" spans="1:10" x14ac:dyDescent="0.2">
      <c r="A3325" s="626"/>
      <c r="B3325" s="637"/>
      <c r="C3325" s="637"/>
      <c r="D3325" s="637"/>
      <c r="E3325" s="637"/>
      <c r="F3325" s="637"/>
      <c r="G3325" s="637"/>
      <c r="H3325" s="637"/>
      <c r="I3325" s="637"/>
      <c r="J3325" s="637"/>
    </row>
    <row r="3326" spans="1:10" x14ac:dyDescent="0.2">
      <c r="A3326" s="626"/>
      <c r="B3326" s="637"/>
      <c r="C3326" s="637"/>
      <c r="D3326" s="637"/>
      <c r="E3326" s="637"/>
      <c r="F3326" s="637"/>
      <c r="G3326" s="637"/>
      <c r="H3326" s="637"/>
      <c r="I3326" s="637"/>
      <c r="J3326" s="637"/>
    </row>
    <row r="3327" spans="1:10" x14ac:dyDescent="0.2">
      <c r="A3327" s="626"/>
      <c r="B3327" s="637"/>
      <c r="C3327" s="637"/>
      <c r="D3327" s="637"/>
      <c r="E3327" s="637"/>
      <c r="F3327" s="637"/>
      <c r="G3327" s="637"/>
      <c r="H3327" s="637"/>
      <c r="I3327" s="637"/>
      <c r="J3327" s="637"/>
    </row>
    <row r="3328" spans="1:10" x14ac:dyDescent="0.2">
      <c r="A3328" s="626"/>
      <c r="B3328" s="637"/>
      <c r="C3328" s="637"/>
      <c r="D3328" s="637"/>
      <c r="E3328" s="637"/>
      <c r="F3328" s="637"/>
      <c r="G3328" s="637"/>
      <c r="H3328" s="637"/>
      <c r="I3328" s="637"/>
      <c r="J3328" s="637"/>
    </row>
    <row r="3329" spans="1:10" x14ac:dyDescent="0.2">
      <c r="A3329" s="626"/>
      <c r="B3329" s="637"/>
      <c r="C3329" s="637"/>
      <c r="D3329" s="637"/>
      <c r="E3329" s="637"/>
      <c r="F3329" s="637"/>
      <c r="G3329" s="637"/>
      <c r="H3329" s="637"/>
      <c r="I3329" s="637"/>
      <c r="J3329" s="637"/>
    </row>
    <row r="3330" spans="1:10" x14ac:dyDescent="0.2">
      <c r="A3330" s="626"/>
      <c r="B3330" s="637"/>
      <c r="C3330" s="637"/>
      <c r="D3330" s="637"/>
      <c r="E3330" s="637"/>
      <c r="F3330" s="637"/>
      <c r="G3330" s="637"/>
      <c r="H3330" s="637"/>
      <c r="I3330" s="637"/>
      <c r="J3330" s="637"/>
    </row>
    <row r="3331" spans="1:10" x14ac:dyDescent="0.2">
      <c r="A3331" s="626"/>
      <c r="B3331" s="637"/>
      <c r="C3331" s="637"/>
      <c r="D3331" s="637"/>
      <c r="E3331" s="637"/>
      <c r="F3331" s="637"/>
      <c r="G3331" s="637"/>
      <c r="H3331" s="637"/>
      <c r="I3331" s="637"/>
      <c r="J3331" s="637"/>
    </row>
    <row r="3332" spans="1:10" x14ac:dyDescent="0.2">
      <c r="A3332" s="626"/>
      <c r="B3332" s="637"/>
      <c r="C3332" s="637"/>
      <c r="D3332" s="637"/>
      <c r="E3332" s="637"/>
      <c r="F3332" s="637"/>
      <c r="G3332" s="637"/>
      <c r="H3332" s="637"/>
      <c r="I3332" s="637"/>
      <c r="J3332" s="637"/>
    </row>
    <row r="3333" spans="1:10" x14ac:dyDescent="0.2">
      <c r="A3333" s="626"/>
      <c r="B3333" s="637"/>
      <c r="C3333" s="637"/>
      <c r="D3333" s="637"/>
      <c r="E3333" s="637"/>
      <c r="F3333" s="637"/>
      <c r="G3333" s="637"/>
      <c r="H3333" s="637"/>
      <c r="I3333" s="637"/>
      <c r="J3333" s="637"/>
    </row>
    <row r="3334" spans="1:10" x14ac:dyDescent="0.2">
      <c r="A3334" s="626"/>
      <c r="B3334" s="637"/>
      <c r="C3334" s="637"/>
      <c r="D3334" s="637"/>
      <c r="E3334" s="637"/>
      <c r="F3334" s="637"/>
      <c r="G3334" s="637"/>
      <c r="H3334" s="637"/>
      <c r="I3334" s="637"/>
      <c r="J3334" s="637"/>
    </row>
    <row r="3335" spans="1:10" x14ac:dyDescent="0.2">
      <c r="A3335" s="626"/>
      <c r="B3335" s="637"/>
      <c r="C3335" s="637"/>
      <c r="D3335" s="637"/>
      <c r="E3335" s="637"/>
      <c r="F3335" s="637"/>
      <c r="G3335" s="637"/>
      <c r="H3335" s="637"/>
      <c r="I3335" s="637"/>
      <c r="J3335" s="637"/>
    </row>
    <row r="3336" spans="1:10" x14ac:dyDescent="0.2">
      <c r="A3336" s="626"/>
      <c r="B3336" s="637"/>
      <c r="C3336" s="637"/>
      <c r="D3336" s="637"/>
      <c r="E3336" s="637"/>
      <c r="F3336" s="637"/>
      <c r="G3336" s="637"/>
      <c r="H3336" s="637"/>
      <c r="I3336" s="637"/>
      <c r="J3336" s="637"/>
    </row>
    <row r="3337" spans="1:10" x14ac:dyDescent="0.2">
      <c r="A3337" s="626"/>
      <c r="B3337" s="637"/>
      <c r="C3337" s="637"/>
      <c r="D3337" s="637"/>
      <c r="E3337" s="637"/>
      <c r="F3337" s="637"/>
      <c r="G3337" s="637"/>
      <c r="H3337" s="637"/>
      <c r="I3337" s="637"/>
      <c r="J3337" s="637"/>
    </row>
    <row r="3338" spans="1:10" x14ac:dyDescent="0.2">
      <c r="A3338" s="626"/>
      <c r="B3338" s="637"/>
      <c r="C3338" s="637"/>
      <c r="D3338" s="637"/>
      <c r="E3338" s="637"/>
      <c r="F3338" s="637"/>
      <c r="G3338" s="637"/>
      <c r="H3338" s="637"/>
      <c r="I3338" s="637"/>
      <c r="J3338" s="637"/>
    </row>
    <row r="3339" spans="1:10" x14ac:dyDescent="0.2">
      <c r="A3339" s="626"/>
      <c r="B3339" s="637"/>
      <c r="C3339" s="637"/>
      <c r="D3339" s="637"/>
      <c r="E3339" s="637"/>
      <c r="F3339" s="637"/>
      <c r="G3339" s="637"/>
      <c r="H3339" s="637"/>
      <c r="I3339" s="637"/>
      <c r="J3339" s="637"/>
    </row>
    <row r="3340" spans="1:10" x14ac:dyDescent="0.2">
      <c r="A3340" s="626"/>
      <c r="B3340" s="637"/>
      <c r="C3340" s="637"/>
      <c r="D3340" s="637"/>
      <c r="E3340" s="637"/>
      <c r="F3340" s="637"/>
      <c r="G3340" s="637"/>
      <c r="H3340" s="637"/>
      <c r="I3340" s="637"/>
      <c r="J3340" s="637"/>
    </row>
    <row r="3341" spans="1:10" x14ac:dyDescent="0.2">
      <c r="A3341" s="626"/>
      <c r="B3341" s="637"/>
      <c r="C3341" s="637"/>
      <c r="D3341" s="637"/>
      <c r="E3341" s="637"/>
      <c r="F3341" s="637"/>
      <c r="G3341" s="637"/>
      <c r="H3341" s="637"/>
      <c r="I3341" s="637"/>
      <c r="J3341" s="637"/>
    </row>
    <row r="3342" spans="1:10" x14ac:dyDescent="0.2">
      <c r="A3342" s="626"/>
      <c r="B3342" s="637"/>
      <c r="C3342" s="637"/>
      <c r="D3342" s="637"/>
      <c r="E3342" s="637"/>
      <c r="F3342" s="637"/>
      <c r="G3342" s="637"/>
      <c r="H3342" s="637"/>
      <c r="I3342" s="637"/>
      <c r="J3342" s="637"/>
    </row>
    <row r="3343" spans="1:10" x14ac:dyDescent="0.2">
      <c r="A3343" s="626"/>
      <c r="B3343" s="637"/>
      <c r="C3343" s="637"/>
      <c r="D3343" s="637"/>
      <c r="E3343" s="637"/>
      <c r="F3343" s="637"/>
      <c r="G3343" s="637"/>
      <c r="H3343" s="637"/>
      <c r="I3343" s="637"/>
      <c r="J3343" s="637"/>
    </row>
    <row r="3344" spans="1:10" x14ac:dyDescent="0.2">
      <c r="A3344" s="626"/>
      <c r="B3344" s="637"/>
      <c r="C3344" s="637"/>
      <c r="D3344" s="637"/>
      <c r="E3344" s="637"/>
      <c r="F3344" s="637"/>
      <c r="G3344" s="637"/>
      <c r="H3344" s="637"/>
      <c r="I3344" s="637"/>
      <c r="J3344" s="637"/>
    </row>
    <row r="3345" spans="1:10" x14ac:dyDescent="0.2">
      <c r="A3345" s="626"/>
      <c r="B3345" s="637"/>
      <c r="C3345" s="637"/>
      <c r="D3345" s="637"/>
      <c r="E3345" s="637"/>
      <c r="F3345" s="637"/>
      <c r="G3345" s="637"/>
      <c r="H3345" s="637"/>
      <c r="I3345" s="637"/>
      <c r="J3345" s="637"/>
    </row>
    <row r="3346" spans="1:10" x14ac:dyDescent="0.2">
      <c r="A3346" s="626"/>
      <c r="B3346" s="637"/>
      <c r="C3346" s="637"/>
      <c r="D3346" s="637"/>
      <c r="E3346" s="637"/>
      <c r="F3346" s="637"/>
      <c r="G3346" s="637"/>
      <c r="H3346" s="637"/>
      <c r="I3346" s="637"/>
      <c r="J3346" s="637"/>
    </row>
    <row r="3347" spans="1:10" x14ac:dyDescent="0.2">
      <c r="A3347" s="626"/>
      <c r="B3347" s="637"/>
      <c r="C3347" s="637"/>
      <c r="D3347" s="637"/>
      <c r="E3347" s="637"/>
      <c r="F3347" s="637"/>
      <c r="G3347" s="637"/>
      <c r="H3347" s="637"/>
      <c r="I3347" s="637"/>
      <c r="J3347" s="637"/>
    </row>
    <row r="3348" spans="1:10" x14ac:dyDescent="0.2">
      <c r="A3348" s="626"/>
      <c r="B3348" s="637"/>
      <c r="C3348" s="637"/>
      <c r="D3348" s="637"/>
      <c r="E3348" s="637"/>
      <c r="F3348" s="637"/>
      <c r="G3348" s="637"/>
      <c r="H3348" s="637"/>
      <c r="I3348" s="637"/>
      <c r="J3348" s="637"/>
    </row>
    <row r="3349" spans="1:10" x14ac:dyDescent="0.2">
      <c r="A3349" s="626"/>
      <c r="B3349" s="637"/>
      <c r="C3349" s="637"/>
      <c r="D3349" s="637"/>
      <c r="E3349" s="637"/>
      <c r="F3349" s="637"/>
      <c r="G3349" s="637"/>
      <c r="H3349" s="637"/>
      <c r="I3349" s="637"/>
      <c r="J3349" s="637"/>
    </row>
    <row r="3350" spans="1:10" x14ac:dyDescent="0.2">
      <c r="A3350" s="626"/>
      <c r="B3350" s="637"/>
      <c r="C3350" s="637"/>
      <c r="D3350" s="637"/>
      <c r="E3350" s="637"/>
      <c r="F3350" s="637"/>
      <c r="G3350" s="637"/>
      <c r="H3350" s="637"/>
      <c r="I3350" s="637"/>
      <c r="J3350" s="637"/>
    </row>
    <row r="3351" spans="1:10" x14ac:dyDescent="0.2">
      <c r="A3351" s="626"/>
      <c r="B3351" s="637"/>
      <c r="C3351" s="637"/>
      <c r="D3351" s="637"/>
      <c r="E3351" s="637"/>
      <c r="F3351" s="637"/>
      <c r="G3351" s="637"/>
      <c r="H3351" s="637"/>
      <c r="I3351" s="637"/>
      <c r="J3351" s="637"/>
    </row>
    <row r="3352" spans="1:10" x14ac:dyDescent="0.2">
      <c r="A3352" s="626"/>
      <c r="B3352" s="637"/>
      <c r="C3352" s="637"/>
      <c r="D3352" s="637"/>
      <c r="E3352" s="637"/>
      <c r="F3352" s="637"/>
      <c r="G3352" s="637"/>
      <c r="H3352" s="637"/>
      <c r="I3352" s="637"/>
      <c r="J3352" s="637"/>
    </row>
    <row r="3353" spans="1:10" x14ac:dyDescent="0.2">
      <c r="A3353" s="626"/>
      <c r="B3353" s="637"/>
      <c r="C3353" s="637"/>
      <c r="D3353" s="637"/>
      <c r="E3353" s="637"/>
      <c r="F3353" s="637"/>
      <c r="G3353" s="637"/>
      <c r="H3353" s="637"/>
      <c r="I3353" s="637"/>
      <c r="J3353" s="637"/>
    </row>
    <row r="3354" spans="1:10" x14ac:dyDescent="0.2">
      <c r="A3354" s="626"/>
      <c r="B3354" s="637"/>
      <c r="C3354" s="637"/>
      <c r="D3354" s="637"/>
      <c r="E3354" s="637"/>
      <c r="F3354" s="637"/>
      <c r="G3354" s="637"/>
      <c r="H3354" s="637"/>
      <c r="I3354" s="637"/>
      <c r="J3354" s="637"/>
    </row>
    <row r="3355" spans="1:10" x14ac:dyDescent="0.2">
      <c r="A3355" s="626"/>
      <c r="B3355" s="637"/>
      <c r="C3355" s="637"/>
      <c r="D3355" s="637"/>
      <c r="E3355" s="637"/>
      <c r="F3355" s="637"/>
      <c r="G3355" s="637"/>
      <c r="H3355" s="637"/>
      <c r="I3355" s="637"/>
      <c r="J3355" s="637"/>
    </row>
    <row r="3356" spans="1:10" x14ac:dyDescent="0.2">
      <c r="A3356" s="626"/>
      <c r="B3356" s="637"/>
      <c r="C3356" s="637"/>
      <c r="D3356" s="637"/>
      <c r="E3356" s="637"/>
      <c r="F3356" s="637"/>
      <c r="G3356" s="637"/>
      <c r="H3356" s="637"/>
      <c r="I3356" s="637"/>
      <c r="J3356" s="637"/>
    </row>
    <row r="3357" spans="1:10" x14ac:dyDescent="0.2">
      <c r="A3357" s="626"/>
      <c r="B3357" s="637"/>
      <c r="C3357" s="637"/>
      <c r="D3357" s="637"/>
      <c r="E3357" s="637"/>
      <c r="F3357" s="637"/>
      <c r="G3357" s="637"/>
      <c r="H3357" s="637"/>
      <c r="I3357" s="637"/>
      <c r="J3357" s="637"/>
    </row>
    <row r="3358" spans="1:10" x14ac:dyDescent="0.2">
      <c r="A3358" s="626"/>
      <c r="B3358" s="637"/>
      <c r="C3358" s="637"/>
      <c r="D3358" s="637"/>
      <c r="E3358" s="637"/>
      <c r="F3358" s="637"/>
      <c r="G3358" s="637"/>
      <c r="H3358" s="637"/>
      <c r="I3358" s="637"/>
      <c r="J3358" s="637"/>
    </row>
    <row r="3359" spans="1:10" x14ac:dyDescent="0.2">
      <c r="A3359" s="626"/>
      <c r="B3359" s="637"/>
      <c r="C3359" s="637"/>
      <c r="D3359" s="637"/>
      <c r="E3359" s="637"/>
      <c r="F3359" s="637"/>
      <c r="G3359" s="637"/>
      <c r="H3359" s="637"/>
      <c r="I3359" s="637"/>
      <c r="J3359" s="637"/>
    </row>
    <row r="3360" spans="1:10" x14ac:dyDescent="0.2">
      <c r="A3360" s="626"/>
      <c r="B3360" s="637"/>
      <c r="C3360" s="637"/>
      <c r="D3360" s="637"/>
      <c r="E3360" s="637"/>
      <c r="F3360" s="637"/>
      <c r="G3360" s="637"/>
      <c r="H3360" s="637"/>
      <c r="I3360" s="637"/>
      <c r="J3360" s="637"/>
    </row>
    <row r="3361" spans="1:10" x14ac:dyDescent="0.2">
      <c r="A3361" s="626"/>
      <c r="B3361" s="637"/>
      <c r="C3361" s="637"/>
      <c r="D3361" s="637"/>
      <c r="E3361" s="637"/>
      <c r="F3361" s="637"/>
      <c r="G3361" s="637"/>
      <c r="H3361" s="637"/>
      <c r="I3361" s="637"/>
      <c r="J3361" s="637"/>
    </row>
    <row r="3362" spans="1:10" x14ac:dyDescent="0.2">
      <c r="A3362" s="626"/>
      <c r="B3362" s="637"/>
      <c r="C3362" s="637"/>
      <c r="D3362" s="637"/>
      <c r="E3362" s="637"/>
      <c r="F3362" s="637"/>
      <c r="G3362" s="637"/>
      <c r="H3362" s="637"/>
      <c r="I3362" s="637"/>
      <c r="J3362" s="637"/>
    </row>
    <row r="3363" spans="1:10" x14ac:dyDescent="0.2">
      <c r="A3363" s="626"/>
      <c r="B3363" s="637"/>
      <c r="C3363" s="637"/>
      <c r="D3363" s="637"/>
      <c r="E3363" s="637"/>
      <c r="F3363" s="637"/>
      <c r="G3363" s="637"/>
      <c r="H3363" s="637"/>
      <c r="I3363" s="637"/>
      <c r="J3363" s="637"/>
    </row>
    <row r="3364" spans="1:10" x14ac:dyDescent="0.2">
      <c r="A3364" s="626"/>
      <c r="B3364" s="637"/>
      <c r="C3364" s="637"/>
      <c r="D3364" s="637"/>
      <c r="E3364" s="637"/>
      <c r="F3364" s="637"/>
      <c r="G3364" s="637"/>
      <c r="H3364" s="637"/>
      <c r="I3364" s="637"/>
      <c r="J3364" s="637"/>
    </row>
    <row r="3365" spans="1:10" x14ac:dyDescent="0.2">
      <c r="A3365" s="626"/>
      <c r="B3365" s="637"/>
      <c r="C3365" s="637"/>
      <c r="D3365" s="637"/>
      <c r="E3365" s="637"/>
      <c r="F3365" s="637"/>
      <c r="G3365" s="637"/>
      <c r="H3365" s="637"/>
      <c r="I3365" s="637"/>
      <c r="J3365" s="637"/>
    </row>
    <row r="3366" spans="1:10" x14ac:dyDescent="0.2">
      <c r="A3366" s="626"/>
      <c r="B3366" s="637"/>
      <c r="C3366" s="637"/>
      <c r="D3366" s="637"/>
      <c r="E3366" s="637"/>
      <c r="F3366" s="637"/>
      <c r="G3366" s="637"/>
      <c r="H3366" s="637"/>
      <c r="I3366" s="637"/>
      <c r="J3366" s="637"/>
    </row>
    <row r="3367" spans="1:10" x14ac:dyDescent="0.2">
      <c r="A3367" s="626"/>
      <c r="B3367" s="637"/>
      <c r="C3367" s="637"/>
      <c r="D3367" s="637"/>
      <c r="E3367" s="637"/>
      <c r="F3367" s="637"/>
      <c r="G3367" s="637"/>
      <c r="H3367" s="637"/>
      <c r="I3367" s="637"/>
      <c r="J3367" s="637"/>
    </row>
    <row r="3368" spans="1:10" x14ac:dyDescent="0.2">
      <c r="A3368" s="626"/>
      <c r="B3368" s="637"/>
      <c r="C3368" s="637"/>
      <c r="D3368" s="637"/>
      <c r="E3368" s="637"/>
      <c r="F3368" s="637"/>
      <c r="G3368" s="637"/>
      <c r="H3368" s="637"/>
      <c r="I3368" s="637"/>
      <c r="J3368" s="637"/>
    </row>
    <row r="3369" spans="1:10" x14ac:dyDescent="0.2">
      <c r="A3369" s="626"/>
      <c r="B3369" s="637"/>
      <c r="C3369" s="637"/>
      <c r="D3369" s="637"/>
      <c r="E3369" s="637"/>
      <c r="F3369" s="637"/>
      <c r="G3369" s="637"/>
      <c r="H3369" s="637"/>
      <c r="I3369" s="637"/>
      <c r="J3369" s="637"/>
    </row>
    <row r="3370" spans="1:10" x14ac:dyDescent="0.2">
      <c r="A3370" s="626"/>
      <c r="B3370" s="637"/>
      <c r="C3370" s="637"/>
      <c r="D3370" s="637"/>
      <c r="E3370" s="637"/>
      <c r="F3370" s="637"/>
      <c r="G3370" s="637"/>
      <c r="H3370" s="637"/>
      <c r="I3370" s="637"/>
      <c r="J3370" s="637"/>
    </row>
    <row r="3371" spans="1:10" x14ac:dyDescent="0.2">
      <c r="A3371" s="626"/>
      <c r="B3371" s="637"/>
      <c r="C3371" s="637"/>
      <c r="D3371" s="637"/>
      <c r="E3371" s="637"/>
      <c r="F3371" s="637"/>
      <c r="G3371" s="637"/>
      <c r="H3371" s="637"/>
      <c r="I3371" s="637"/>
      <c r="J3371" s="637"/>
    </row>
    <row r="3372" spans="1:10" x14ac:dyDescent="0.2">
      <c r="A3372" s="626"/>
      <c r="B3372" s="637"/>
      <c r="C3372" s="637"/>
      <c r="D3372" s="637"/>
      <c r="E3372" s="637"/>
      <c r="F3372" s="637"/>
      <c r="G3372" s="637"/>
      <c r="H3372" s="637"/>
      <c r="I3372" s="637"/>
      <c r="J3372" s="637"/>
    </row>
    <row r="3373" spans="1:10" x14ac:dyDescent="0.2">
      <c r="A3373" s="626"/>
      <c r="B3373" s="637"/>
      <c r="C3373" s="637"/>
      <c r="D3373" s="637"/>
      <c r="E3373" s="637"/>
      <c r="F3373" s="637"/>
      <c r="G3373" s="637"/>
      <c r="H3373" s="637"/>
      <c r="I3373" s="637"/>
      <c r="J3373" s="637"/>
    </row>
    <row r="3374" spans="1:10" x14ac:dyDescent="0.2">
      <c r="A3374" s="626"/>
      <c r="B3374" s="637"/>
      <c r="C3374" s="637"/>
      <c r="D3374" s="637"/>
      <c r="E3374" s="637"/>
      <c r="F3374" s="637"/>
      <c r="G3374" s="637"/>
      <c r="H3374" s="637"/>
      <c r="I3374" s="637"/>
      <c r="J3374" s="637"/>
    </row>
    <row r="3375" spans="1:10" x14ac:dyDescent="0.2">
      <c r="A3375" s="626"/>
      <c r="B3375" s="637"/>
      <c r="C3375" s="637"/>
      <c r="D3375" s="637"/>
      <c r="E3375" s="637"/>
      <c r="F3375" s="637"/>
      <c r="G3375" s="637"/>
      <c r="H3375" s="637"/>
      <c r="I3375" s="637"/>
      <c r="J3375" s="637"/>
    </row>
    <row r="3376" spans="1:10" x14ac:dyDescent="0.2">
      <c r="A3376" s="626"/>
      <c r="B3376" s="637"/>
      <c r="C3376" s="637"/>
      <c r="D3376" s="637"/>
      <c r="E3376" s="637"/>
      <c r="F3376" s="637"/>
      <c r="G3376" s="637"/>
      <c r="H3376" s="637"/>
      <c r="I3376" s="637"/>
      <c r="J3376" s="637"/>
    </row>
    <row r="3377" spans="1:10" x14ac:dyDescent="0.2">
      <c r="A3377" s="626"/>
      <c r="B3377" s="637"/>
      <c r="C3377" s="637"/>
      <c r="D3377" s="637"/>
      <c r="E3377" s="637"/>
      <c r="F3377" s="637"/>
      <c r="G3377" s="637"/>
      <c r="H3377" s="637"/>
      <c r="I3377" s="637"/>
      <c r="J3377" s="637"/>
    </row>
    <row r="3378" spans="1:10" x14ac:dyDescent="0.2">
      <c r="A3378" s="626"/>
      <c r="B3378" s="637"/>
      <c r="C3378" s="637"/>
      <c r="D3378" s="637"/>
      <c r="E3378" s="637"/>
      <c r="F3378" s="637"/>
      <c r="G3378" s="637"/>
      <c r="H3378" s="637"/>
      <c r="I3378" s="637"/>
      <c r="J3378" s="637"/>
    </row>
    <row r="3379" spans="1:10" x14ac:dyDescent="0.2">
      <c r="A3379" s="626"/>
      <c r="B3379" s="637"/>
      <c r="C3379" s="637"/>
      <c r="D3379" s="637"/>
      <c r="E3379" s="637"/>
      <c r="F3379" s="637"/>
      <c r="G3379" s="637"/>
      <c r="H3379" s="637"/>
      <c r="I3379" s="637"/>
      <c r="J3379" s="637"/>
    </row>
    <row r="3380" spans="1:10" x14ac:dyDescent="0.2">
      <c r="A3380" s="626"/>
      <c r="B3380" s="637"/>
      <c r="C3380" s="637"/>
      <c r="D3380" s="637"/>
      <c r="E3380" s="637"/>
      <c r="F3380" s="637"/>
      <c r="G3380" s="637"/>
      <c r="H3380" s="637"/>
      <c r="I3380" s="637"/>
      <c r="J3380" s="637"/>
    </row>
    <row r="3381" spans="1:10" x14ac:dyDescent="0.2">
      <c r="A3381" s="626"/>
      <c r="B3381" s="637"/>
      <c r="C3381" s="637"/>
      <c r="D3381" s="637"/>
      <c r="E3381" s="637"/>
      <c r="F3381" s="637"/>
      <c r="G3381" s="637"/>
      <c r="H3381" s="637"/>
      <c r="I3381" s="637"/>
      <c r="J3381" s="637"/>
    </row>
    <row r="3382" spans="1:10" x14ac:dyDescent="0.2">
      <c r="A3382" s="626"/>
      <c r="B3382" s="637"/>
      <c r="C3382" s="637"/>
      <c r="D3382" s="637"/>
      <c r="E3382" s="637"/>
      <c r="F3382" s="637"/>
      <c r="G3382" s="637"/>
      <c r="H3382" s="637"/>
      <c r="I3382" s="637"/>
      <c r="J3382" s="637"/>
    </row>
    <row r="3383" spans="1:10" x14ac:dyDescent="0.2">
      <c r="A3383" s="626"/>
      <c r="B3383" s="637"/>
      <c r="C3383" s="637"/>
      <c r="D3383" s="637"/>
      <c r="E3383" s="637"/>
      <c r="F3383" s="637"/>
      <c r="G3383" s="637"/>
      <c r="H3383" s="637"/>
      <c r="I3383" s="637"/>
      <c r="J3383" s="637"/>
    </row>
    <row r="3384" spans="1:10" x14ac:dyDescent="0.2">
      <c r="A3384" s="626"/>
      <c r="B3384" s="637"/>
      <c r="C3384" s="637"/>
      <c r="D3384" s="637"/>
      <c r="E3384" s="637"/>
      <c r="F3384" s="637"/>
      <c r="G3384" s="637"/>
      <c r="H3384" s="637"/>
      <c r="I3384" s="637"/>
      <c r="J3384" s="637"/>
    </row>
    <row r="3385" spans="1:10" x14ac:dyDescent="0.2">
      <c r="A3385" s="626"/>
      <c r="B3385" s="637"/>
      <c r="C3385" s="637"/>
      <c r="D3385" s="637"/>
      <c r="E3385" s="637"/>
      <c r="F3385" s="637"/>
      <c r="G3385" s="637"/>
      <c r="H3385" s="637"/>
      <c r="I3385" s="637"/>
      <c r="J3385" s="637"/>
    </row>
    <row r="3386" spans="1:10" x14ac:dyDescent="0.2">
      <c r="A3386" s="626"/>
      <c r="B3386" s="637"/>
      <c r="C3386" s="637"/>
      <c r="D3386" s="637"/>
      <c r="E3386" s="637"/>
      <c r="F3386" s="637"/>
      <c r="G3386" s="637"/>
      <c r="H3386" s="637"/>
      <c r="I3386" s="637"/>
      <c r="J3386" s="637"/>
    </row>
    <row r="3387" spans="1:10" x14ac:dyDescent="0.2">
      <c r="A3387" s="626"/>
      <c r="B3387" s="637"/>
      <c r="C3387" s="637"/>
      <c r="D3387" s="637"/>
      <c r="E3387" s="637"/>
      <c r="F3387" s="637"/>
      <c r="G3387" s="637"/>
      <c r="H3387" s="637"/>
      <c r="I3387" s="637"/>
      <c r="J3387" s="637"/>
    </row>
    <row r="3388" spans="1:10" x14ac:dyDescent="0.2">
      <c r="A3388" s="626"/>
      <c r="B3388" s="637"/>
      <c r="C3388" s="637"/>
      <c r="D3388" s="637"/>
      <c r="E3388" s="637"/>
      <c r="F3388" s="637"/>
      <c r="G3388" s="637"/>
      <c r="H3388" s="637"/>
      <c r="I3388" s="637"/>
      <c r="J3388" s="637"/>
    </row>
    <row r="3389" spans="1:10" x14ac:dyDescent="0.2">
      <c r="A3389" s="626"/>
      <c r="B3389" s="637"/>
      <c r="C3389" s="637"/>
      <c r="D3389" s="637"/>
      <c r="E3389" s="637"/>
      <c r="F3389" s="637"/>
      <c r="G3389" s="637"/>
      <c r="H3389" s="637"/>
      <c r="I3389" s="637"/>
      <c r="J3389" s="637"/>
    </row>
    <row r="3390" spans="1:10" x14ac:dyDescent="0.2">
      <c r="A3390" s="626"/>
      <c r="B3390" s="637"/>
      <c r="C3390" s="637"/>
      <c r="D3390" s="637"/>
      <c r="E3390" s="637"/>
      <c r="F3390" s="637"/>
      <c r="G3390" s="637"/>
      <c r="H3390" s="637"/>
      <c r="I3390" s="637"/>
      <c r="J3390" s="637"/>
    </row>
    <row r="3391" spans="1:10" x14ac:dyDescent="0.2">
      <c r="A3391" s="626"/>
      <c r="B3391" s="637"/>
      <c r="C3391" s="637"/>
      <c r="D3391" s="637"/>
      <c r="E3391" s="637"/>
      <c r="F3391" s="637"/>
      <c r="G3391" s="637"/>
      <c r="H3391" s="637"/>
      <c r="I3391" s="637"/>
      <c r="J3391" s="637"/>
    </row>
    <row r="3392" spans="1:10" x14ac:dyDescent="0.2">
      <c r="A3392" s="626"/>
      <c r="B3392" s="637"/>
      <c r="C3392" s="637"/>
      <c r="D3392" s="637"/>
      <c r="E3392" s="637"/>
      <c r="F3392" s="637"/>
      <c r="G3392" s="637"/>
      <c r="H3392" s="637"/>
      <c r="I3392" s="637"/>
      <c r="J3392" s="637"/>
    </row>
    <row r="3393" spans="1:10" x14ac:dyDescent="0.2">
      <c r="A3393" s="626"/>
      <c r="B3393" s="637"/>
      <c r="C3393" s="637"/>
      <c r="D3393" s="637"/>
      <c r="E3393" s="637"/>
      <c r="F3393" s="637"/>
      <c r="G3393" s="637"/>
      <c r="H3393" s="637"/>
      <c r="I3393" s="637"/>
      <c r="J3393" s="637"/>
    </row>
    <row r="3394" spans="1:10" x14ac:dyDescent="0.2">
      <c r="A3394" s="626"/>
      <c r="B3394" s="637"/>
      <c r="C3394" s="637"/>
      <c r="D3394" s="637"/>
      <c r="E3394" s="637"/>
      <c r="F3394" s="637"/>
      <c r="G3394" s="637"/>
      <c r="H3394" s="637"/>
      <c r="I3394" s="637"/>
      <c r="J3394" s="637"/>
    </row>
    <row r="3395" spans="1:10" x14ac:dyDescent="0.2">
      <c r="A3395" s="626"/>
      <c r="B3395" s="637"/>
      <c r="C3395" s="637"/>
      <c r="D3395" s="637"/>
      <c r="E3395" s="637"/>
      <c r="F3395" s="637"/>
      <c r="G3395" s="637"/>
      <c r="H3395" s="637"/>
      <c r="I3395" s="637"/>
      <c r="J3395" s="637"/>
    </row>
    <row r="3396" spans="1:10" x14ac:dyDescent="0.2">
      <c r="A3396" s="626"/>
      <c r="B3396" s="637"/>
      <c r="C3396" s="637"/>
      <c r="D3396" s="637"/>
      <c r="E3396" s="637"/>
      <c r="F3396" s="637"/>
      <c r="G3396" s="637"/>
      <c r="H3396" s="637"/>
      <c r="I3396" s="637"/>
      <c r="J3396" s="637"/>
    </row>
    <row r="3397" spans="1:10" x14ac:dyDescent="0.2">
      <c r="A3397" s="626"/>
      <c r="B3397" s="637"/>
      <c r="C3397" s="637"/>
      <c r="D3397" s="637"/>
      <c r="E3397" s="637"/>
      <c r="F3397" s="637"/>
      <c r="G3397" s="637"/>
      <c r="H3397" s="637"/>
      <c r="I3397" s="637"/>
      <c r="J3397" s="637"/>
    </row>
    <row r="3398" spans="1:10" x14ac:dyDescent="0.2">
      <c r="A3398" s="626"/>
      <c r="B3398" s="637"/>
      <c r="C3398" s="637"/>
      <c r="D3398" s="637"/>
      <c r="E3398" s="637"/>
      <c r="F3398" s="637"/>
      <c r="G3398" s="637"/>
      <c r="H3398" s="637"/>
      <c r="I3398" s="637"/>
      <c r="J3398" s="637"/>
    </row>
    <row r="3399" spans="1:10" x14ac:dyDescent="0.2">
      <c r="A3399" s="626"/>
      <c r="B3399" s="637"/>
      <c r="C3399" s="637"/>
      <c r="D3399" s="637"/>
      <c r="E3399" s="637"/>
      <c r="F3399" s="637"/>
      <c r="G3399" s="637"/>
      <c r="H3399" s="637"/>
      <c r="I3399" s="637"/>
      <c r="J3399" s="637"/>
    </row>
    <row r="3400" spans="1:10" x14ac:dyDescent="0.2">
      <c r="A3400" s="626"/>
      <c r="B3400" s="637"/>
      <c r="C3400" s="637"/>
      <c r="D3400" s="637"/>
      <c r="E3400" s="637"/>
      <c r="F3400" s="637"/>
      <c r="G3400" s="637"/>
      <c r="H3400" s="637"/>
      <c r="I3400" s="637"/>
      <c r="J3400" s="637"/>
    </row>
    <row r="3401" spans="1:10" x14ac:dyDescent="0.2">
      <c r="A3401" s="626"/>
      <c r="B3401" s="637"/>
      <c r="C3401" s="637"/>
      <c r="D3401" s="637"/>
      <c r="E3401" s="637"/>
      <c r="F3401" s="637"/>
      <c r="G3401" s="637"/>
      <c r="H3401" s="637"/>
      <c r="I3401" s="637"/>
      <c r="J3401" s="637"/>
    </row>
    <row r="3402" spans="1:10" x14ac:dyDescent="0.2">
      <c r="A3402" s="626"/>
      <c r="B3402" s="637"/>
      <c r="C3402" s="637"/>
      <c r="D3402" s="637"/>
      <c r="E3402" s="637"/>
      <c r="F3402" s="637"/>
      <c r="G3402" s="637"/>
      <c r="H3402" s="637"/>
      <c r="I3402" s="637"/>
      <c r="J3402" s="637"/>
    </row>
    <row r="3403" spans="1:10" x14ac:dyDescent="0.2">
      <c r="A3403" s="626"/>
      <c r="B3403" s="637"/>
      <c r="C3403" s="637"/>
      <c r="D3403" s="637"/>
      <c r="E3403" s="637"/>
      <c r="F3403" s="637"/>
      <c r="G3403" s="637"/>
      <c r="H3403" s="637"/>
      <c r="I3403" s="637"/>
      <c r="J3403" s="637"/>
    </row>
    <row r="3404" spans="1:10" x14ac:dyDescent="0.2">
      <c r="A3404" s="626"/>
      <c r="B3404" s="637"/>
      <c r="C3404" s="637"/>
      <c r="D3404" s="637"/>
      <c r="E3404" s="637"/>
      <c r="F3404" s="637"/>
      <c r="G3404" s="637"/>
      <c r="H3404" s="637"/>
      <c r="I3404" s="637"/>
      <c r="J3404" s="637"/>
    </row>
    <row r="3405" spans="1:10" x14ac:dyDescent="0.2">
      <c r="A3405" s="626"/>
      <c r="B3405" s="637"/>
      <c r="C3405" s="637"/>
      <c r="D3405" s="637"/>
      <c r="E3405" s="637"/>
      <c r="F3405" s="637"/>
      <c r="G3405" s="637"/>
      <c r="H3405" s="637"/>
      <c r="I3405" s="637"/>
      <c r="J3405" s="637"/>
    </row>
    <row r="3406" spans="1:10" x14ac:dyDescent="0.2">
      <c r="A3406" s="626"/>
      <c r="B3406" s="637"/>
      <c r="C3406" s="637"/>
      <c r="D3406" s="637"/>
      <c r="E3406" s="637"/>
      <c r="F3406" s="637"/>
      <c r="G3406" s="637"/>
      <c r="H3406" s="637"/>
      <c r="I3406" s="637"/>
      <c r="J3406" s="637"/>
    </row>
    <row r="3407" spans="1:10" x14ac:dyDescent="0.2">
      <c r="A3407" s="626"/>
      <c r="B3407" s="637"/>
      <c r="C3407" s="637"/>
      <c r="D3407" s="637"/>
      <c r="E3407" s="637"/>
      <c r="F3407" s="637"/>
      <c r="G3407" s="637"/>
      <c r="H3407" s="637"/>
      <c r="I3407" s="637"/>
      <c r="J3407" s="637"/>
    </row>
    <row r="3408" spans="1:10" x14ac:dyDescent="0.2">
      <c r="A3408" s="626"/>
      <c r="B3408" s="637"/>
      <c r="C3408" s="637"/>
      <c r="D3408" s="637"/>
      <c r="E3408" s="637"/>
      <c r="F3408" s="637"/>
      <c r="G3408" s="637"/>
      <c r="H3408" s="637"/>
      <c r="I3408" s="637"/>
      <c r="J3408" s="637"/>
    </row>
    <row r="3409" spans="1:10" x14ac:dyDescent="0.2">
      <c r="A3409" s="626"/>
      <c r="B3409" s="637"/>
      <c r="C3409" s="637"/>
      <c r="D3409" s="637"/>
      <c r="E3409" s="637"/>
      <c r="F3409" s="637"/>
      <c r="G3409" s="637"/>
      <c r="H3409" s="637"/>
      <c r="I3409" s="637"/>
      <c r="J3409" s="637"/>
    </row>
    <row r="3410" spans="1:10" x14ac:dyDescent="0.2">
      <c r="A3410" s="626"/>
      <c r="B3410" s="637"/>
      <c r="C3410" s="637"/>
      <c r="D3410" s="637"/>
      <c r="E3410" s="637"/>
      <c r="F3410" s="637"/>
      <c r="G3410" s="637"/>
      <c r="H3410" s="637"/>
      <c r="I3410" s="637"/>
      <c r="J3410" s="637"/>
    </row>
    <row r="3411" spans="1:10" x14ac:dyDescent="0.2">
      <c r="A3411" s="626"/>
      <c r="B3411" s="637"/>
      <c r="C3411" s="637"/>
      <c r="D3411" s="637"/>
      <c r="E3411" s="637"/>
      <c r="F3411" s="637"/>
      <c r="G3411" s="637"/>
      <c r="H3411" s="637"/>
      <c r="I3411" s="637"/>
      <c r="J3411" s="637"/>
    </row>
    <row r="3412" spans="1:10" x14ac:dyDescent="0.2">
      <c r="A3412" s="626"/>
      <c r="B3412" s="637"/>
      <c r="C3412" s="637"/>
      <c r="D3412" s="637"/>
      <c r="E3412" s="637"/>
      <c r="F3412" s="637"/>
      <c r="G3412" s="637"/>
      <c r="H3412" s="637"/>
      <c r="I3412" s="637"/>
      <c r="J3412" s="637"/>
    </row>
    <row r="3413" spans="1:10" x14ac:dyDescent="0.2">
      <c r="A3413" s="626"/>
      <c r="B3413" s="637"/>
      <c r="C3413" s="637"/>
      <c r="D3413" s="637"/>
      <c r="E3413" s="637"/>
      <c r="F3413" s="637"/>
      <c r="G3413" s="637"/>
      <c r="H3413" s="637"/>
      <c r="I3413" s="637"/>
      <c r="J3413" s="637"/>
    </row>
    <row r="3414" spans="1:10" x14ac:dyDescent="0.2">
      <c r="A3414" s="626"/>
      <c r="B3414" s="637"/>
      <c r="C3414" s="637"/>
      <c r="D3414" s="637"/>
      <c r="E3414" s="637"/>
      <c r="F3414" s="637"/>
      <c r="G3414" s="637"/>
      <c r="H3414" s="637"/>
      <c r="I3414" s="637"/>
      <c r="J3414" s="637"/>
    </row>
    <row r="3415" spans="1:10" x14ac:dyDescent="0.2">
      <c r="A3415" s="626"/>
      <c r="B3415" s="637"/>
      <c r="C3415" s="637"/>
      <c r="D3415" s="637"/>
      <c r="E3415" s="637"/>
      <c r="F3415" s="637"/>
      <c r="G3415" s="637"/>
      <c r="H3415" s="637"/>
      <c r="I3415" s="637"/>
      <c r="J3415" s="637"/>
    </row>
    <row r="3416" spans="1:10" x14ac:dyDescent="0.2">
      <c r="A3416" s="626"/>
      <c r="B3416" s="637"/>
      <c r="C3416" s="637"/>
      <c r="D3416" s="637"/>
      <c r="E3416" s="637"/>
      <c r="F3416" s="637"/>
      <c r="G3416" s="637"/>
      <c r="H3416" s="637"/>
      <c r="I3416" s="637"/>
      <c r="J3416" s="637"/>
    </row>
    <row r="3417" spans="1:10" x14ac:dyDescent="0.2">
      <c r="A3417" s="626"/>
      <c r="B3417" s="637"/>
      <c r="C3417" s="637"/>
      <c r="D3417" s="637"/>
      <c r="E3417" s="637"/>
      <c r="F3417" s="637"/>
      <c r="G3417" s="637"/>
      <c r="H3417" s="637"/>
      <c r="I3417" s="637"/>
      <c r="J3417" s="637"/>
    </row>
    <row r="3418" spans="1:10" x14ac:dyDescent="0.2">
      <c r="A3418" s="626"/>
      <c r="B3418" s="637"/>
      <c r="C3418" s="637"/>
      <c r="D3418" s="637"/>
      <c r="E3418" s="637"/>
      <c r="F3418" s="637"/>
      <c r="G3418" s="637"/>
      <c r="H3418" s="637"/>
      <c r="I3418" s="637"/>
      <c r="J3418" s="637"/>
    </row>
    <row r="3419" spans="1:10" x14ac:dyDescent="0.2">
      <c r="A3419" s="626"/>
      <c r="B3419" s="637"/>
      <c r="C3419" s="637"/>
      <c r="D3419" s="637"/>
      <c r="E3419" s="637"/>
      <c r="F3419" s="637"/>
      <c r="G3419" s="637"/>
      <c r="H3419" s="637"/>
      <c r="I3419" s="637"/>
      <c r="J3419" s="637"/>
    </row>
    <row r="3420" spans="1:10" x14ac:dyDescent="0.2">
      <c r="A3420" s="626"/>
      <c r="B3420" s="637"/>
      <c r="C3420" s="637"/>
      <c r="D3420" s="637"/>
      <c r="E3420" s="637"/>
      <c r="F3420" s="637"/>
      <c r="G3420" s="637"/>
      <c r="H3420" s="637"/>
      <c r="I3420" s="637"/>
      <c r="J3420" s="637"/>
    </row>
    <row r="3421" spans="1:10" x14ac:dyDescent="0.2">
      <c r="A3421" s="626"/>
      <c r="B3421" s="637"/>
      <c r="C3421" s="637"/>
      <c r="D3421" s="637"/>
      <c r="E3421" s="637"/>
      <c r="F3421" s="637"/>
      <c r="G3421" s="637"/>
      <c r="H3421" s="637"/>
      <c r="I3421" s="637"/>
      <c r="J3421" s="637"/>
    </row>
    <row r="3422" spans="1:10" x14ac:dyDescent="0.2">
      <c r="A3422" s="626"/>
      <c r="B3422" s="637"/>
      <c r="C3422" s="637"/>
      <c r="D3422" s="637"/>
      <c r="E3422" s="637"/>
      <c r="F3422" s="637"/>
      <c r="G3422" s="637"/>
      <c r="H3422" s="637"/>
      <c r="I3422" s="637"/>
      <c r="J3422" s="637"/>
    </row>
    <row r="3423" spans="1:10" x14ac:dyDescent="0.2">
      <c r="A3423" s="626"/>
      <c r="B3423" s="637"/>
      <c r="C3423" s="637"/>
      <c r="D3423" s="637"/>
      <c r="E3423" s="637"/>
      <c r="F3423" s="637"/>
      <c r="G3423" s="637"/>
      <c r="H3423" s="637"/>
      <c r="I3423" s="637"/>
      <c r="J3423" s="637"/>
    </row>
    <row r="3424" spans="1:10" x14ac:dyDescent="0.2">
      <c r="A3424" s="626"/>
      <c r="B3424" s="637"/>
      <c r="C3424" s="637"/>
      <c r="D3424" s="637"/>
      <c r="E3424" s="637"/>
      <c r="F3424" s="637"/>
      <c r="G3424" s="637"/>
      <c r="H3424" s="637"/>
      <c r="I3424" s="637"/>
      <c r="J3424" s="637"/>
    </row>
    <row r="3425" spans="1:10" x14ac:dyDescent="0.2">
      <c r="A3425" s="626"/>
      <c r="B3425" s="637"/>
      <c r="C3425" s="637"/>
      <c r="D3425" s="637"/>
      <c r="E3425" s="637"/>
      <c r="F3425" s="637"/>
      <c r="G3425" s="637"/>
      <c r="H3425" s="637"/>
      <c r="I3425" s="637"/>
      <c r="J3425" s="637"/>
    </row>
    <row r="3426" spans="1:10" x14ac:dyDescent="0.2">
      <c r="A3426" s="626"/>
      <c r="B3426" s="637"/>
      <c r="C3426" s="637"/>
      <c r="D3426" s="637"/>
      <c r="E3426" s="637"/>
      <c r="F3426" s="637"/>
      <c r="G3426" s="637"/>
      <c r="H3426" s="637"/>
      <c r="I3426" s="637"/>
      <c r="J3426" s="637"/>
    </row>
    <row r="3427" spans="1:10" x14ac:dyDescent="0.2">
      <c r="A3427" s="626"/>
      <c r="B3427" s="637"/>
      <c r="C3427" s="637"/>
      <c r="D3427" s="637"/>
      <c r="E3427" s="637"/>
      <c r="F3427" s="637"/>
      <c r="G3427" s="637"/>
      <c r="H3427" s="637"/>
      <c r="I3427" s="637"/>
      <c r="J3427" s="637"/>
    </row>
    <row r="3428" spans="1:10" x14ac:dyDescent="0.2">
      <c r="A3428" s="626"/>
      <c r="B3428" s="637"/>
      <c r="C3428" s="637"/>
      <c r="D3428" s="637"/>
      <c r="E3428" s="637"/>
      <c r="F3428" s="637"/>
      <c r="G3428" s="637"/>
      <c r="H3428" s="637"/>
      <c r="I3428" s="637"/>
      <c r="J3428" s="637"/>
    </row>
    <row r="3429" spans="1:10" x14ac:dyDescent="0.2">
      <c r="A3429" s="626"/>
      <c r="B3429" s="637"/>
      <c r="C3429" s="637"/>
      <c r="D3429" s="637"/>
      <c r="E3429" s="637"/>
      <c r="F3429" s="637"/>
      <c r="G3429" s="637"/>
      <c r="H3429" s="637"/>
      <c r="I3429" s="637"/>
      <c r="J3429" s="637"/>
    </row>
    <row r="3430" spans="1:10" x14ac:dyDescent="0.2">
      <c r="A3430" s="626"/>
      <c r="B3430" s="637"/>
      <c r="C3430" s="637"/>
      <c r="D3430" s="637"/>
      <c r="E3430" s="637"/>
      <c r="F3430" s="637"/>
      <c r="G3430" s="637"/>
      <c r="H3430" s="637"/>
      <c r="I3430" s="637"/>
      <c r="J3430" s="637"/>
    </row>
    <row r="3431" spans="1:10" x14ac:dyDescent="0.2">
      <c r="A3431" s="626"/>
      <c r="B3431" s="637"/>
      <c r="C3431" s="637"/>
      <c r="D3431" s="637"/>
      <c r="E3431" s="637"/>
      <c r="F3431" s="637"/>
      <c r="G3431" s="637"/>
      <c r="H3431" s="637"/>
      <c r="I3431" s="637"/>
      <c r="J3431" s="637"/>
    </row>
    <row r="3432" spans="1:10" x14ac:dyDescent="0.2">
      <c r="A3432" s="626"/>
      <c r="B3432" s="637"/>
      <c r="C3432" s="637"/>
      <c r="D3432" s="637"/>
      <c r="E3432" s="637"/>
      <c r="F3432" s="637"/>
      <c r="G3432" s="637"/>
      <c r="H3432" s="637"/>
      <c r="I3432" s="637"/>
      <c r="J3432" s="637"/>
    </row>
    <row r="3433" spans="1:10" x14ac:dyDescent="0.2">
      <c r="A3433" s="626"/>
      <c r="B3433" s="637"/>
      <c r="C3433" s="637"/>
      <c r="D3433" s="637"/>
      <c r="E3433" s="637"/>
      <c r="F3433" s="637"/>
      <c r="G3433" s="637"/>
      <c r="H3433" s="637"/>
      <c r="I3433" s="637"/>
      <c r="J3433" s="637"/>
    </row>
    <row r="3434" spans="1:10" x14ac:dyDescent="0.2">
      <c r="A3434" s="626"/>
      <c r="B3434" s="637"/>
      <c r="C3434" s="637"/>
      <c r="D3434" s="637"/>
      <c r="E3434" s="637"/>
      <c r="F3434" s="637"/>
      <c r="G3434" s="637"/>
      <c r="H3434" s="637"/>
      <c r="I3434" s="637"/>
      <c r="J3434" s="637"/>
    </row>
    <row r="3435" spans="1:10" x14ac:dyDescent="0.2">
      <c r="A3435" s="626"/>
      <c r="B3435" s="637"/>
      <c r="C3435" s="637"/>
      <c r="D3435" s="637"/>
      <c r="E3435" s="637"/>
      <c r="F3435" s="637"/>
      <c r="G3435" s="637"/>
      <c r="H3435" s="637"/>
      <c r="I3435" s="637"/>
      <c r="J3435" s="637"/>
    </row>
    <row r="3436" spans="1:10" x14ac:dyDescent="0.2">
      <c r="A3436" s="626"/>
      <c r="B3436" s="637"/>
      <c r="C3436" s="637"/>
      <c r="D3436" s="637"/>
      <c r="E3436" s="637"/>
      <c r="F3436" s="637"/>
      <c r="G3436" s="637"/>
      <c r="H3436" s="637"/>
      <c r="I3436" s="637"/>
      <c r="J3436" s="637"/>
    </row>
    <row r="3437" spans="1:10" x14ac:dyDescent="0.2">
      <c r="A3437" s="626"/>
      <c r="B3437" s="637"/>
      <c r="C3437" s="637"/>
      <c r="D3437" s="637"/>
      <c r="E3437" s="637"/>
      <c r="F3437" s="637"/>
      <c r="G3437" s="637"/>
      <c r="H3437" s="637"/>
      <c r="I3437" s="637"/>
      <c r="J3437" s="637"/>
    </row>
    <row r="3438" spans="1:10" x14ac:dyDescent="0.2">
      <c r="A3438" s="626"/>
      <c r="B3438" s="637"/>
      <c r="C3438" s="637"/>
      <c r="D3438" s="637"/>
      <c r="E3438" s="637"/>
      <c r="F3438" s="637"/>
      <c r="G3438" s="637"/>
      <c r="H3438" s="637"/>
      <c r="I3438" s="637"/>
      <c r="J3438" s="637"/>
    </row>
    <row r="3439" spans="1:10" x14ac:dyDescent="0.2">
      <c r="A3439" s="626"/>
      <c r="B3439" s="637"/>
      <c r="C3439" s="637"/>
      <c r="D3439" s="637"/>
      <c r="E3439" s="637"/>
      <c r="F3439" s="637"/>
      <c r="G3439" s="637"/>
      <c r="H3439" s="637"/>
      <c r="I3439" s="637"/>
      <c r="J3439" s="637"/>
    </row>
    <row r="3440" spans="1:10" x14ac:dyDescent="0.2">
      <c r="A3440" s="626"/>
      <c r="B3440" s="637"/>
      <c r="C3440" s="637"/>
      <c r="D3440" s="637"/>
      <c r="E3440" s="637"/>
      <c r="F3440" s="637"/>
      <c r="G3440" s="637"/>
      <c r="H3440" s="637"/>
      <c r="I3440" s="637"/>
      <c r="J3440" s="637"/>
    </row>
    <row r="3441" spans="1:10" x14ac:dyDescent="0.2">
      <c r="A3441" s="626"/>
      <c r="B3441" s="637"/>
      <c r="C3441" s="637"/>
      <c r="D3441" s="637"/>
      <c r="E3441" s="637"/>
      <c r="F3441" s="637"/>
      <c r="G3441" s="637"/>
      <c r="H3441" s="637"/>
      <c r="I3441" s="637"/>
      <c r="J3441" s="637"/>
    </row>
    <row r="3442" spans="1:10" x14ac:dyDescent="0.2">
      <c r="A3442" s="626"/>
      <c r="B3442" s="637"/>
      <c r="C3442" s="637"/>
      <c r="D3442" s="637"/>
      <c r="E3442" s="637"/>
      <c r="F3442" s="637"/>
      <c r="G3442" s="637"/>
      <c r="H3442" s="637"/>
      <c r="I3442" s="637"/>
      <c r="J3442" s="637"/>
    </row>
    <row r="3443" spans="1:10" x14ac:dyDescent="0.2">
      <c r="A3443" s="626"/>
      <c r="B3443" s="637"/>
      <c r="C3443" s="637"/>
      <c r="D3443" s="637"/>
      <c r="E3443" s="637"/>
      <c r="F3443" s="637"/>
      <c r="G3443" s="637"/>
      <c r="H3443" s="637"/>
      <c r="I3443" s="637"/>
      <c r="J3443" s="637"/>
    </row>
    <row r="3444" spans="1:10" x14ac:dyDescent="0.2">
      <c r="A3444" s="626"/>
      <c r="B3444" s="637"/>
      <c r="C3444" s="637"/>
      <c r="D3444" s="637"/>
      <c r="E3444" s="637"/>
      <c r="F3444" s="637"/>
      <c r="G3444" s="637"/>
      <c r="H3444" s="637"/>
      <c r="I3444" s="637"/>
      <c r="J3444" s="637"/>
    </row>
    <row r="3445" spans="1:10" x14ac:dyDescent="0.2">
      <c r="A3445" s="626"/>
      <c r="B3445" s="637"/>
      <c r="C3445" s="637"/>
      <c r="D3445" s="637"/>
      <c r="E3445" s="637"/>
      <c r="F3445" s="637"/>
      <c r="G3445" s="637"/>
      <c r="H3445" s="637"/>
      <c r="I3445" s="637"/>
      <c r="J3445" s="637"/>
    </row>
    <row r="3446" spans="1:10" x14ac:dyDescent="0.2">
      <c r="A3446" s="626"/>
      <c r="B3446" s="637"/>
      <c r="C3446" s="637"/>
      <c r="D3446" s="637"/>
      <c r="E3446" s="637"/>
      <c r="F3446" s="637"/>
      <c r="G3446" s="637"/>
      <c r="H3446" s="637"/>
      <c r="I3446" s="637"/>
      <c r="J3446" s="637"/>
    </row>
    <row r="3447" spans="1:10" x14ac:dyDescent="0.2">
      <c r="A3447" s="626"/>
      <c r="B3447" s="637"/>
      <c r="C3447" s="637"/>
      <c r="D3447" s="637"/>
      <c r="E3447" s="637"/>
      <c r="F3447" s="637"/>
      <c r="G3447" s="637"/>
      <c r="H3447" s="637"/>
      <c r="I3447" s="637"/>
      <c r="J3447" s="637"/>
    </row>
    <row r="3448" spans="1:10" x14ac:dyDescent="0.2">
      <c r="A3448" s="626"/>
      <c r="B3448" s="637"/>
      <c r="C3448" s="637"/>
      <c r="D3448" s="637"/>
      <c r="E3448" s="637"/>
      <c r="F3448" s="637"/>
      <c r="G3448" s="637"/>
      <c r="H3448" s="637"/>
      <c r="I3448" s="637"/>
      <c r="J3448" s="637"/>
    </row>
    <row r="3449" spans="1:10" x14ac:dyDescent="0.2">
      <c r="A3449" s="626"/>
      <c r="B3449" s="637"/>
      <c r="C3449" s="637"/>
      <c r="D3449" s="637"/>
      <c r="E3449" s="637"/>
      <c r="F3449" s="637"/>
      <c r="G3449" s="637"/>
      <c r="H3449" s="637"/>
      <c r="I3449" s="637"/>
      <c r="J3449" s="637"/>
    </row>
    <row r="3450" spans="1:10" x14ac:dyDescent="0.2">
      <c r="A3450" s="626"/>
      <c r="B3450" s="637"/>
      <c r="C3450" s="637"/>
      <c r="D3450" s="637"/>
      <c r="E3450" s="637"/>
      <c r="F3450" s="637"/>
      <c r="G3450" s="637"/>
      <c r="H3450" s="637"/>
      <c r="I3450" s="637"/>
      <c r="J3450" s="637"/>
    </row>
    <row r="3451" spans="1:10" x14ac:dyDescent="0.2">
      <c r="A3451" s="626"/>
      <c r="B3451" s="637"/>
      <c r="C3451" s="637"/>
      <c r="D3451" s="637"/>
      <c r="E3451" s="637"/>
      <c r="F3451" s="637"/>
      <c r="G3451" s="637"/>
      <c r="H3451" s="637"/>
      <c r="I3451" s="637"/>
      <c r="J3451" s="637"/>
    </row>
    <row r="3452" spans="1:10" x14ac:dyDescent="0.2">
      <c r="A3452" s="626"/>
      <c r="B3452" s="637"/>
      <c r="C3452" s="637"/>
      <c r="D3452" s="637"/>
      <c r="E3452" s="637"/>
      <c r="F3452" s="637"/>
      <c r="G3452" s="637"/>
      <c r="H3452" s="637"/>
      <c r="I3452" s="637"/>
      <c r="J3452" s="637"/>
    </row>
    <row r="3453" spans="1:10" x14ac:dyDescent="0.2">
      <c r="A3453" s="626"/>
      <c r="B3453" s="637"/>
      <c r="C3453" s="637"/>
      <c r="D3453" s="637"/>
      <c r="E3453" s="637"/>
      <c r="F3453" s="637"/>
      <c r="G3453" s="637"/>
      <c r="H3453" s="637"/>
      <c r="I3453" s="637"/>
      <c r="J3453" s="637"/>
    </row>
    <row r="3454" spans="1:10" x14ac:dyDescent="0.2">
      <c r="A3454" s="626"/>
      <c r="B3454" s="637"/>
      <c r="C3454" s="637"/>
      <c r="D3454" s="637"/>
      <c r="E3454" s="637"/>
      <c r="F3454" s="637"/>
      <c r="G3454" s="637"/>
      <c r="H3454" s="637"/>
      <c r="I3454" s="637"/>
      <c r="J3454" s="637"/>
    </row>
    <row r="3455" spans="1:10" x14ac:dyDescent="0.2">
      <c r="A3455" s="626"/>
      <c r="B3455" s="637"/>
      <c r="C3455" s="637"/>
      <c r="D3455" s="637"/>
      <c r="E3455" s="637"/>
      <c r="F3455" s="637"/>
      <c r="G3455" s="637"/>
      <c r="H3455" s="637"/>
      <c r="I3455" s="637"/>
      <c r="J3455" s="637"/>
    </row>
    <row r="3456" spans="1:10" x14ac:dyDescent="0.2">
      <c r="A3456" s="626"/>
      <c r="B3456" s="637"/>
      <c r="C3456" s="637"/>
      <c r="D3456" s="637"/>
      <c r="E3456" s="637"/>
      <c r="F3456" s="637"/>
      <c r="G3456" s="637"/>
      <c r="H3456" s="637"/>
      <c r="I3456" s="637"/>
      <c r="J3456" s="637"/>
    </row>
    <row r="3457" spans="1:10" x14ac:dyDescent="0.2">
      <c r="A3457" s="626"/>
      <c r="B3457" s="637"/>
      <c r="C3457" s="637"/>
      <c r="D3457" s="637"/>
      <c r="E3457" s="637"/>
      <c r="F3457" s="637"/>
      <c r="G3457" s="637"/>
      <c r="H3457" s="637"/>
      <c r="I3457" s="637"/>
      <c r="J3457" s="637"/>
    </row>
    <row r="3458" spans="1:10" x14ac:dyDescent="0.2">
      <c r="A3458" s="626"/>
      <c r="B3458" s="637"/>
      <c r="C3458" s="637"/>
      <c r="D3458" s="637"/>
      <c r="E3458" s="637"/>
      <c r="F3458" s="637"/>
      <c r="G3458" s="637"/>
      <c r="H3458" s="637"/>
      <c r="I3458" s="637"/>
      <c r="J3458" s="637"/>
    </row>
    <row r="3459" spans="1:10" x14ac:dyDescent="0.2">
      <c r="A3459" s="626"/>
      <c r="B3459" s="637"/>
      <c r="C3459" s="637"/>
      <c r="D3459" s="637"/>
      <c r="E3459" s="637"/>
      <c r="F3459" s="637"/>
      <c r="G3459" s="637"/>
      <c r="H3459" s="637"/>
      <c r="I3459" s="637"/>
      <c r="J3459" s="637"/>
    </row>
    <row r="3460" spans="1:10" x14ac:dyDescent="0.2">
      <c r="A3460" s="626"/>
      <c r="B3460" s="637"/>
      <c r="C3460" s="637"/>
      <c r="D3460" s="637"/>
      <c r="E3460" s="637"/>
      <c r="F3460" s="637"/>
      <c r="G3460" s="637"/>
      <c r="H3460" s="637"/>
      <c r="I3460" s="637"/>
      <c r="J3460" s="637"/>
    </row>
    <row r="3461" spans="1:10" x14ac:dyDescent="0.2">
      <c r="A3461" s="626"/>
      <c r="B3461" s="637"/>
      <c r="C3461" s="637"/>
      <c r="D3461" s="637"/>
      <c r="E3461" s="637"/>
      <c r="F3461" s="637"/>
      <c r="G3461" s="637"/>
      <c r="H3461" s="637"/>
      <c r="I3461" s="637"/>
      <c r="J3461" s="637"/>
    </row>
    <row r="3462" spans="1:10" x14ac:dyDescent="0.2">
      <c r="A3462" s="626"/>
      <c r="B3462" s="637"/>
      <c r="C3462" s="637"/>
      <c r="D3462" s="637"/>
      <c r="E3462" s="637"/>
      <c r="F3462" s="637"/>
      <c r="G3462" s="637"/>
      <c r="H3462" s="637"/>
      <c r="I3462" s="637"/>
      <c r="J3462" s="637"/>
    </row>
    <row r="3463" spans="1:10" x14ac:dyDescent="0.2">
      <c r="A3463" s="626"/>
      <c r="B3463" s="637"/>
      <c r="C3463" s="637"/>
      <c r="D3463" s="637"/>
      <c r="E3463" s="637"/>
      <c r="F3463" s="637"/>
      <c r="G3463" s="637"/>
      <c r="H3463" s="637"/>
      <c r="I3463" s="637"/>
      <c r="J3463" s="637"/>
    </row>
    <row r="3464" spans="1:10" x14ac:dyDescent="0.2">
      <c r="A3464" s="626"/>
      <c r="B3464" s="637"/>
      <c r="C3464" s="637"/>
      <c r="D3464" s="637"/>
      <c r="E3464" s="637"/>
      <c r="F3464" s="637"/>
      <c r="G3464" s="637"/>
      <c r="H3464" s="637"/>
      <c r="I3464" s="637"/>
      <c r="J3464" s="637"/>
    </row>
    <row r="3465" spans="1:10" x14ac:dyDescent="0.2">
      <c r="A3465" s="626"/>
      <c r="B3465" s="637"/>
      <c r="C3465" s="637"/>
      <c r="D3465" s="637"/>
      <c r="E3465" s="637"/>
      <c r="F3465" s="637"/>
      <c r="G3465" s="637"/>
      <c r="H3465" s="637"/>
      <c r="I3465" s="637"/>
      <c r="J3465" s="637"/>
    </row>
    <row r="3466" spans="1:10" x14ac:dyDescent="0.2">
      <c r="A3466" s="626"/>
      <c r="B3466" s="637"/>
      <c r="C3466" s="637"/>
      <c r="D3466" s="637"/>
      <c r="E3466" s="637"/>
      <c r="F3466" s="637"/>
      <c r="G3466" s="637"/>
      <c r="H3466" s="637"/>
      <c r="I3466" s="637"/>
      <c r="J3466" s="637"/>
    </row>
    <row r="3467" spans="1:10" x14ac:dyDescent="0.2">
      <c r="A3467" s="626"/>
      <c r="B3467" s="637"/>
      <c r="C3467" s="637"/>
      <c r="D3467" s="637"/>
      <c r="E3467" s="637"/>
      <c r="F3467" s="637"/>
      <c r="G3467" s="637"/>
      <c r="H3467" s="637"/>
      <c r="I3467" s="637"/>
      <c r="J3467" s="637"/>
    </row>
    <row r="3468" spans="1:10" x14ac:dyDescent="0.2">
      <c r="A3468" s="626"/>
      <c r="B3468" s="637"/>
      <c r="C3468" s="637"/>
      <c r="D3468" s="637"/>
      <c r="E3468" s="637"/>
      <c r="F3468" s="637"/>
      <c r="G3468" s="637"/>
      <c r="H3468" s="637"/>
      <c r="I3468" s="637"/>
      <c r="J3468" s="637"/>
    </row>
    <row r="3469" spans="1:10" x14ac:dyDescent="0.2">
      <c r="A3469" s="626"/>
      <c r="B3469" s="637"/>
      <c r="C3469" s="637"/>
      <c r="D3469" s="637"/>
      <c r="E3469" s="637"/>
      <c r="F3469" s="637"/>
      <c r="G3469" s="637"/>
      <c r="H3469" s="637"/>
      <c r="I3469" s="637"/>
      <c r="J3469" s="637"/>
    </row>
    <row r="3470" spans="1:10" x14ac:dyDescent="0.2">
      <c r="A3470" s="626"/>
      <c r="B3470" s="637"/>
      <c r="C3470" s="637"/>
      <c r="D3470" s="637"/>
      <c r="E3470" s="637"/>
      <c r="F3470" s="637"/>
      <c r="G3470" s="637"/>
      <c r="H3470" s="637"/>
      <c r="I3470" s="637"/>
      <c r="J3470" s="637"/>
    </row>
    <row r="3471" spans="1:10" x14ac:dyDescent="0.2">
      <c r="A3471" s="626"/>
      <c r="B3471" s="637"/>
      <c r="C3471" s="637"/>
      <c r="D3471" s="637"/>
      <c r="E3471" s="637"/>
      <c r="F3471" s="637"/>
      <c r="G3471" s="637"/>
      <c r="H3471" s="637"/>
      <c r="I3471" s="637"/>
      <c r="J3471" s="637"/>
    </row>
    <row r="3472" spans="1:10" x14ac:dyDescent="0.2">
      <c r="A3472" s="626"/>
      <c r="B3472" s="637"/>
      <c r="C3472" s="637"/>
      <c r="D3472" s="637"/>
      <c r="E3472" s="637"/>
      <c r="F3472" s="637"/>
      <c r="G3472" s="637"/>
      <c r="H3472" s="637"/>
      <c r="I3472" s="637"/>
      <c r="J3472" s="637"/>
    </row>
    <row r="3473" spans="1:10" x14ac:dyDescent="0.2">
      <c r="A3473" s="626"/>
      <c r="B3473" s="637"/>
      <c r="C3473" s="637"/>
      <c r="D3473" s="637"/>
      <c r="E3473" s="637"/>
      <c r="F3473" s="637"/>
      <c r="G3473" s="637"/>
      <c r="H3473" s="637"/>
      <c r="I3473" s="637"/>
      <c r="J3473" s="637"/>
    </row>
    <row r="3474" spans="1:10" x14ac:dyDescent="0.2">
      <c r="A3474" s="626"/>
      <c r="B3474" s="637"/>
      <c r="C3474" s="637"/>
      <c r="D3474" s="637"/>
      <c r="E3474" s="637"/>
      <c r="F3474" s="637"/>
      <c r="G3474" s="637"/>
      <c r="H3474" s="637"/>
      <c r="I3474" s="637"/>
      <c r="J3474" s="637"/>
    </row>
    <row r="3475" spans="1:10" x14ac:dyDescent="0.2">
      <c r="A3475" s="626"/>
      <c r="B3475" s="637"/>
      <c r="C3475" s="637"/>
      <c r="D3475" s="637"/>
      <c r="E3475" s="637"/>
      <c r="F3475" s="637"/>
      <c r="G3475" s="637"/>
      <c r="H3475" s="637"/>
      <c r="I3475" s="637"/>
      <c r="J3475" s="637"/>
    </row>
    <row r="3476" spans="1:10" x14ac:dyDescent="0.2">
      <c r="A3476" s="626"/>
      <c r="B3476" s="637"/>
      <c r="C3476" s="637"/>
      <c r="D3476" s="637"/>
      <c r="E3476" s="637"/>
      <c r="F3476" s="637"/>
      <c r="G3476" s="637"/>
      <c r="H3476" s="637"/>
      <c r="I3476" s="637"/>
      <c r="J3476" s="637"/>
    </row>
    <row r="3477" spans="1:10" x14ac:dyDescent="0.2">
      <c r="A3477" s="626"/>
      <c r="B3477" s="637"/>
      <c r="C3477" s="637"/>
      <c r="D3477" s="637"/>
      <c r="E3477" s="637"/>
      <c r="F3477" s="637"/>
      <c r="G3477" s="637"/>
      <c r="H3477" s="637"/>
      <c r="I3477" s="637"/>
      <c r="J3477" s="637"/>
    </row>
    <row r="3478" spans="1:10" x14ac:dyDescent="0.2">
      <c r="A3478" s="626"/>
      <c r="B3478" s="637"/>
      <c r="C3478" s="637"/>
      <c r="D3478" s="637"/>
      <c r="E3478" s="637"/>
      <c r="F3478" s="637"/>
      <c r="G3478" s="637"/>
      <c r="H3478" s="637"/>
      <c r="I3478" s="637"/>
      <c r="J3478" s="637"/>
    </row>
    <row r="3479" spans="1:10" x14ac:dyDescent="0.2">
      <c r="A3479" s="626"/>
      <c r="B3479" s="637"/>
      <c r="C3479" s="637"/>
      <c r="D3479" s="637"/>
      <c r="E3479" s="637"/>
      <c r="F3479" s="637"/>
      <c r="G3479" s="637"/>
      <c r="H3479" s="637"/>
      <c r="I3479" s="637"/>
      <c r="J3479" s="637"/>
    </row>
    <row r="3480" spans="1:10" x14ac:dyDescent="0.2">
      <c r="A3480" s="626"/>
      <c r="B3480" s="637"/>
      <c r="C3480" s="637"/>
      <c r="D3480" s="637"/>
      <c r="E3480" s="637"/>
      <c r="F3480" s="637"/>
      <c r="G3480" s="637"/>
      <c r="H3480" s="637"/>
      <c r="I3480" s="637"/>
      <c r="J3480" s="637"/>
    </row>
    <row r="3481" spans="1:10" x14ac:dyDescent="0.2">
      <c r="A3481" s="626"/>
      <c r="B3481" s="637"/>
      <c r="C3481" s="637"/>
      <c r="D3481" s="637"/>
      <c r="E3481" s="637"/>
      <c r="F3481" s="637"/>
      <c r="G3481" s="637"/>
      <c r="H3481" s="637"/>
      <c r="I3481" s="637"/>
      <c r="J3481" s="637"/>
    </row>
    <row r="3482" spans="1:10" x14ac:dyDescent="0.2">
      <c r="A3482" s="626"/>
      <c r="B3482" s="637"/>
      <c r="C3482" s="637"/>
      <c r="D3482" s="637"/>
      <c r="E3482" s="637"/>
      <c r="F3482" s="637"/>
      <c r="G3482" s="637"/>
      <c r="H3482" s="637"/>
      <c r="I3482" s="637"/>
      <c r="J3482" s="637"/>
    </row>
    <row r="3483" spans="1:10" x14ac:dyDescent="0.2">
      <c r="A3483" s="626"/>
      <c r="B3483" s="637"/>
      <c r="C3483" s="637"/>
      <c r="D3483" s="637"/>
      <c r="E3483" s="637"/>
      <c r="F3483" s="637"/>
      <c r="G3483" s="637"/>
      <c r="H3483" s="637"/>
      <c r="I3483" s="637"/>
      <c r="J3483" s="637"/>
    </row>
    <row r="3484" spans="1:10" x14ac:dyDescent="0.2">
      <c r="A3484" s="626"/>
      <c r="B3484" s="637"/>
      <c r="C3484" s="637"/>
      <c r="D3484" s="637"/>
      <c r="E3484" s="637"/>
      <c r="F3484" s="637"/>
      <c r="G3484" s="637"/>
      <c r="H3484" s="637"/>
      <c r="I3484" s="637"/>
      <c r="J3484" s="637"/>
    </row>
    <row r="3485" spans="1:10" x14ac:dyDescent="0.2">
      <c r="A3485" s="626"/>
      <c r="B3485" s="637"/>
      <c r="C3485" s="637"/>
      <c r="D3485" s="637"/>
      <c r="E3485" s="637"/>
      <c r="F3485" s="637"/>
      <c r="G3485" s="637"/>
      <c r="H3485" s="637"/>
      <c r="I3485" s="637"/>
      <c r="J3485" s="637"/>
    </row>
    <row r="3486" spans="1:10" x14ac:dyDescent="0.2">
      <c r="A3486" s="626"/>
      <c r="B3486" s="637"/>
      <c r="C3486" s="637"/>
      <c r="D3486" s="637"/>
      <c r="E3486" s="637"/>
      <c r="F3486" s="637"/>
      <c r="G3486" s="637"/>
      <c r="H3486" s="637"/>
      <c r="I3486" s="637"/>
      <c r="J3486" s="637"/>
    </row>
    <row r="3487" spans="1:10" x14ac:dyDescent="0.2">
      <c r="A3487" s="626"/>
      <c r="B3487" s="637"/>
      <c r="C3487" s="637"/>
      <c r="D3487" s="637"/>
      <c r="E3487" s="637"/>
      <c r="F3487" s="637"/>
      <c r="G3487" s="637"/>
      <c r="H3487" s="637"/>
      <c r="I3487" s="637"/>
      <c r="J3487" s="637"/>
    </row>
    <row r="3488" spans="1:10" x14ac:dyDescent="0.2">
      <c r="A3488" s="626"/>
      <c r="B3488" s="637"/>
      <c r="C3488" s="637"/>
      <c r="D3488" s="637"/>
      <c r="E3488" s="637"/>
      <c r="F3488" s="637"/>
      <c r="G3488" s="637"/>
      <c r="H3488" s="637"/>
      <c r="I3488" s="637"/>
      <c r="J3488" s="637"/>
    </row>
    <row r="3489" spans="1:10" x14ac:dyDescent="0.2">
      <c r="A3489" s="626"/>
      <c r="B3489" s="637"/>
      <c r="C3489" s="637"/>
      <c r="D3489" s="637"/>
      <c r="E3489" s="637"/>
      <c r="F3489" s="637"/>
      <c r="G3489" s="637"/>
      <c r="H3489" s="637"/>
      <c r="I3489" s="637"/>
      <c r="J3489" s="637"/>
    </row>
    <row r="3490" spans="1:10" x14ac:dyDescent="0.2">
      <c r="A3490" s="626"/>
      <c r="B3490" s="637"/>
      <c r="C3490" s="637"/>
      <c r="D3490" s="637"/>
      <c r="E3490" s="637"/>
      <c r="F3490" s="637"/>
      <c r="G3490" s="637"/>
      <c r="H3490" s="637"/>
      <c r="I3490" s="637"/>
      <c r="J3490" s="637"/>
    </row>
    <row r="3491" spans="1:10" x14ac:dyDescent="0.2">
      <c r="A3491" s="626"/>
      <c r="B3491" s="637"/>
      <c r="C3491" s="637"/>
      <c r="D3491" s="637"/>
      <c r="E3491" s="637"/>
      <c r="F3491" s="637"/>
      <c r="G3491" s="637"/>
      <c r="H3491" s="637"/>
      <c r="I3491" s="637"/>
      <c r="J3491" s="637"/>
    </row>
    <row r="3492" spans="1:10" x14ac:dyDescent="0.2">
      <c r="A3492" s="626"/>
      <c r="B3492" s="637"/>
      <c r="C3492" s="637"/>
      <c r="D3492" s="637"/>
      <c r="E3492" s="637"/>
      <c r="F3492" s="637"/>
      <c r="G3492" s="637"/>
      <c r="H3492" s="637"/>
      <c r="I3492" s="637"/>
      <c r="J3492" s="637"/>
    </row>
    <row r="3493" spans="1:10" x14ac:dyDescent="0.2">
      <c r="A3493" s="626"/>
      <c r="B3493" s="637"/>
      <c r="C3493" s="637"/>
      <c r="D3493" s="637"/>
      <c r="E3493" s="637"/>
      <c r="F3493" s="637"/>
      <c r="G3493" s="637"/>
      <c r="H3493" s="637"/>
      <c r="I3493" s="637"/>
      <c r="J3493" s="637"/>
    </row>
    <row r="3494" spans="1:10" x14ac:dyDescent="0.2">
      <c r="A3494" s="626"/>
      <c r="B3494" s="637"/>
      <c r="C3494" s="637"/>
      <c r="D3494" s="637"/>
      <c r="E3494" s="637"/>
      <c r="F3494" s="637"/>
      <c r="G3494" s="637"/>
      <c r="H3494" s="637"/>
      <c r="I3494" s="637"/>
      <c r="J3494" s="637"/>
    </row>
    <row r="3495" spans="1:10" x14ac:dyDescent="0.2">
      <c r="A3495" s="626"/>
      <c r="B3495" s="637"/>
      <c r="C3495" s="637"/>
      <c r="D3495" s="637"/>
      <c r="E3495" s="637"/>
      <c r="F3495" s="637"/>
      <c r="G3495" s="637"/>
      <c r="H3495" s="637"/>
      <c r="I3495" s="637"/>
      <c r="J3495" s="637"/>
    </row>
    <row r="3496" spans="1:10" x14ac:dyDescent="0.2">
      <c r="A3496" s="626"/>
      <c r="B3496" s="637"/>
      <c r="C3496" s="637"/>
      <c r="D3496" s="637"/>
      <c r="E3496" s="637"/>
      <c r="F3496" s="637"/>
      <c r="G3496" s="637"/>
      <c r="H3496" s="637"/>
      <c r="I3496" s="637"/>
      <c r="J3496" s="637"/>
    </row>
    <row r="3497" spans="1:10" x14ac:dyDescent="0.2">
      <c r="A3497" s="626"/>
      <c r="B3497" s="637"/>
      <c r="C3497" s="637"/>
      <c r="D3497" s="637"/>
      <c r="E3497" s="637"/>
      <c r="F3497" s="637"/>
      <c r="G3497" s="637"/>
      <c r="H3497" s="637"/>
      <c r="I3497" s="637"/>
      <c r="J3497" s="637"/>
    </row>
    <row r="3498" spans="1:10" x14ac:dyDescent="0.2">
      <c r="A3498" s="626"/>
      <c r="B3498" s="637"/>
      <c r="C3498" s="637"/>
      <c r="D3498" s="637"/>
      <c r="E3498" s="637"/>
      <c r="F3498" s="637"/>
      <c r="G3498" s="637"/>
      <c r="H3498" s="637"/>
      <c r="I3498" s="637"/>
      <c r="J3498" s="637"/>
    </row>
    <row r="3499" spans="1:10" x14ac:dyDescent="0.2">
      <c r="A3499" s="626"/>
      <c r="B3499" s="637"/>
      <c r="C3499" s="637"/>
      <c r="D3499" s="637"/>
      <c r="E3499" s="637"/>
      <c r="F3499" s="637"/>
      <c r="G3499" s="637"/>
      <c r="H3499" s="637"/>
      <c r="I3499" s="637"/>
      <c r="J3499" s="637"/>
    </row>
    <row r="3500" spans="1:10" x14ac:dyDescent="0.2">
      <c r="A3500" s="626"/>
      <c r="B3500" s="637"/>
      <c r="C3500" s="637"/>
      <c r="D3500" s="637"/>
      <c r="E3500" s="637"/>
      <c r="F3500" s="637"/>
      <c r="G3500" s="637"/>
      <c r="H3500" s="637"/>
      <c r="I3500" s="637"/>
      <c r="J3500" s="637"/>
    </row>
    <row r="3501" spans="1:10" x14ac:dyDescent="0.2">
      <c r="A3501" s="626"/>
      <c r="B3501" s="637"/>
      <c r="C3501" s="637"/>
      <c r="D3501" s="637"/>
      <c r="E3501" s="637"/>
      <c r="F3501" s="637"/>
      <c r="G3501" s="637"/>
      <c r="H3501" s="637"/>
      <c r="I3501" s="637"/>
      <c r="J3501" s="637"/>
    </row>
    <row r="3502" spans="1:10" x14ac:dyDescent="0.2">
      <c r="A3502" s="626"/>
      <c r="B3502" s="637"/>
      <c r="C3502" s="637"/>
      <c r="D3502" s="637"/>
      <c r="E3502" s="637"/>
      <c r="F3502" s="637"/>
      <c r="G3502" s="637"/>
      <c r="H3502" s="637"/>
      <c r="I3502" s="637"/>
      <c r="J3502" s="637"/>
    </row>
    <row r="3503" spans="1:10" x14ac:dyDescent="0.2">
      <c r="A3503" s="626"/>
      <c r="B3503" s="637"/>
      <c r="C3503" s="637"/>
      <c r="D3503" s="637"/>
      <c r="E3503" s="637"/>
      <c r="F3503" s="637"/>
      <c r="G3503" s="637"/>
      <c r="H3503" s="637"/>
      <c r="I3503" s="637"/>
      <c r="J3503" s="637"/>
    </row>
    <row r="3504" spans="1:10" x14ac:dyDescent="0.2">
      <c r="A3504" s="626"/>
      <c r="B3504" s="637"/>
      <c r="C3504" s="637"/>
      <c r="D3504" s="637"/>
      <c r="E3504" s="637"/>
      <c r="F3504" s="637"/>
      <c r="G3504" s="637"/>
      <c r="H3504" s="637"/>
      <c r="I3504" s="637"/>
      <c r="J3504" s="637"/>
    </row>
    <row r="3505" spans="1:10" x14ac:dyDescent="0.2">
      <c r="A3505" s="626"/>
      <c r="B3505" s="637"/>
      <c r="C3505" s="637"/>
      <c r="D3505" s="637"/>
      <c r="E3505" s="637"/>
      <c r="F3505" s="637"/>
      <c r="G3505" s="637"/>
      <c r="H3505" s="637"/>
      <c r="I3505" s="637"/>
      <c r="J3505" s="637"/>
    </row>
    <row r="3506" spans="1:10" x14ac:dyDescent="0.2">
      <c r="A3506" s="626"/>
      <c r="B3506" s="637"/>
      <c r="C3506" s="637"/>
      <c r="D3506" s="637"/>
      <c r="E3506" s="637"/>
      <c r="F3506" s="637"/>
      <c r="G3506" s="637"/>
      <c r="H3506" s="637"/>
      <c r="I3506" s="637"/>
      <c r="J3506" s="637"/>
    </row>
    <row r="3507" spans="1:10" x14ac:dyDescent="0.2">
      <c r="A3507" s="626"/>
      <c r="B3507" s="637"/>
      <c r="C3507" s="637"/>
      <c r="D3507" s="637"/>
      <c r="E3507" s="637"/>
      <c r="F3507" s="637"/>
      <c r="G3507" s="637"/>
      <c r="H3507" s="637"/>
      <c r="I3507" s="637"/>
      <c r="J3507" s="637"/>
    </row>
    <row r="3508" spans="1:10" x14ac:dyDescent="0.2">
      <c r="A3508" s="626"/>
      <c r="B3508" s="637"/>
      <c r="C3508" s="637"/>
      <c r="D3508" s="637"/>
      <c r="E3508" s="637"/>
      <c r="F3508" s="637"/>
      <c r="G3508" s="637"/>
      <c r="H3508" s="637"/>
      <c r="I3508" s="637"/>
      <c r="J3508" s="637"/>
    </row>
    <row r="3509" spans="1:10" x14ac:dyDescent="0.2">
      <c r="A3509" s="626"/>
      <c r="B3509" s="637"/>
      <c r="C3509" s="637"/>
      <c r="D3509" s="637"/>
      <c r="E3509" s="637"/>
      <c r="F3509" s="637"/>
      <c r="G3509" s="637"/>
      <c r="H3509" s="637"/>
      <c r="I3509" s="637"/>
      <c r="J3509" s="637"/>
    </row>
    <row r="3510" spans="1:10" x14ac:dyDescent="0.2">
      <c r="A3510" s="626"/>
      <c r="B3510" s="637"/>
      <c r="C3510" s="637"/>
      <c r="D3510" s="637"/>
      <c r="E3510" s="637"/>
      <c r="F3510" s="637"/>
      <c r="G3510" s="637"/>
      <c r="H3510" s="637"/>
      <c r="I3510" s="637"/>
      <c r="J3510" s="637"/>
    </row>
    <row r="3511" spans="1:10" x14ac:dyDescent="0.2">
      <c r="A3511" s="626"/>
      <c r="B3511" s="637"/>
      <c r="C3511" s="637"/>
      <c r="D3511" s="637"/>
      <c r="E3511" s="637"/>
      <c r="F3511" s="637"/>
      <c r="G3511" s="637"/>
      <c r="H3511" s="637"/>
      <c r="I3511" s="637"/>
      <c r="J3511" s="637"/>
    </row>
    <row r="3512" spans="1:10" x14ac:dyDescent="0.2">
      <c r="A3512" s="626"/>
      <c r="B3512" s="637"/>
      <c r="C3512" s="637"/>
      <c r="D3512" s="637"/>
      <c r="E3512" s="637"/>
      <c r="F3512" s="637"/>
      <c r="G3512" s="637"/>
      <c r="H3512" s="637"/>
      <c r="I3512" s="637"/>
      <c r="J3512" s="637"/>
    </row>
    <row r="3513" spans="1:10" x14ac:dyDescent="0.2">
      <c r="A3513" s="626"/>
      <c r="B3513" s="637"/>
      <c r="C3513" s="637"/>
      <c r="D3513" s="637"/>
      <c r="E3513" s="637"/>
      <c r="F3513" s="637"/>
      <c r="G3513" s="637"/>
      <c r="H3513" s="637"/>
      <c r="I3513" s="637"/>
      <c r="J3513" s="637"/>
    </row>
    <row r="3514" spans="1:10" x14ac:dyDescent="0.2">
      <c r="A3514" s="626"/>
      <c r="B3514" s="637"/>
      <c r="C3514" s="637"/>
      <c r="D3514" s="637"/>
      <c r="E3514" s="637"/>
      <c r="F3514" s="637"/>
      <c r="G3514" s="637"/>
      <c r="H3514" s="637"/>
      <c r="I3514" s="637"/>
      <c r="J3514" s="637"/>
    </row>
    <row r="3515" spans="1:10" x14ac:dyDescent="0.2">
      <c r="A3515" s="626"/>
      <c r="B3515" s="637"/>
      <c r="C3515" s="637"/>
      <c r="D3515" s="637"/>
      <c r="E3515" s="637"/>
      <c r="F3515" s="637"/>
      <c r="G3515" s="637"/>
      <c r="H3515" s="637"/>
      <c r="I3515" s="637"/>
      <c r="J3515" s="637"/>
    </row>
    <row r="3516" spans="1:10" x14ac:dyDescent="0.2">
      <c r="A3516" s="626"/>
      <c r="B3516" s="637"/>
      <c r="C3516" s="637"/>
      <c r="D3516" s="637"/>
      <c r="E3516" s="637"/>
      <c r="F3516" s="637"/>
      <c r="G3516" s="637"/>
      <c r="H3516" s="637"/>
      <c r="I3516" s="637"/>
      <c r="J3516" s="637"/>
    </row>
    <row r="3517" spans="1:10" x14ac:dyDescent="0.2">
      <c r="A3517" s="626"/>
      <c r="B3517" s="637"/>
      <c r="C3517" s="637"/>
      <c r="D3517" s="637"/>
      <c r="E3517" s="637"/>
      <c r="F3517" s="637"/>
      <c r="G3517" s="637"/>
      <c r="H3517" s="637"/>
      <c r="I3517" s="637"/>
      <c r="J3517" s="637"/>
    </row>
    <row r="3518" spans="1:10" x14ac:dyDescent="0.2">
      <c r="A3518" s="626"/>
      <c r="B3518" s="637"/>
      <c r="C3518" s="637"/>
      <c r="D3518" s="637"/>
      <c r="E3518" s="637"/>
      <c r="F3518" s="637"/>
      <c r="G3518" s="637"/>
      <c r="H3518" s="637"/>
      <c r="I3518" s="637"/>
      <c r="J3518" s="637"/>
    </row>
    <row r="3519" spans="1:10" x14ac:dyDescent="0.2">
      <c r="A3519" s="626"/>
      <c r="B3519" s="637"/>
      <c r="C3519" s="637"/>
      <c r="D3519" s="637"/>
      <c r="E3519" s="637"/>
      <c r="F3519" s="637"/>
      <c r="G3519" s="637"/>
      <c r="H3519" s="637"/>
      <c r="I3519" s="637"/>
      <c r="J3519" s="637"/>
    </row>
    <row r="3520" spans="1:10" x14ac:dyDescent="0.2">
      <c r="A3520" s="626"/>
      <c r="B3520" s="637"/>
      <c r="C3520" s="637"/>
      <c r="D3520" s="637"/>
      <c r="E3520" s="637"/>
      <c r="F3520" s="637"/>
      <c r="G3520" s="637"/>
      <c r="H3520" s="637"/>
      <c r="I3520" s="637"/>
      <c r="J3520" s="637"/>
    </row>
    <row r="3521" spans="1:10" x14ac:dyDescent="0.2">
      <c r="A3521" s="626"/>
      <c r="B3521" s="637"/>
      <c r="C3521" s="637"/>
      <c r="D3521" s="637"/>
      <c r="E3521" s="637"/>
      <c r="F3521" s="637"/>
      <c r="G3521" s="637"/>
      <c r="H3521" s="637"/>
      <c r="I3521" s="637"/>
      <c r="J3521" s="637"/>
    </row>
    <row r="3522" spans="1:10" x14ac:dyDescent="0.2">
      <c r="A3522" s="626"/>
      <c r="B3522" s="637"/>
      <c r="C3522" s="637"/>
      <c r="D3522" s="637"/>
      <c r="E3522" s="637"/>
      <c r="F3522" s="637"/>
      <c r="G3522" s="637"/>
      <c r="H3522" s="637"/>
      <c r="I3522" s="637"/>
      <c r="J3522" s="637"/>
    </row>
    <row r="3523" spans="1:10" x14ac:dyDescent="0.2">
      <c r="A3523" s="626"/>
      <c r="B3523" s="637"/>
      <c r="C3523" s="637"/>
      <c r="D3523" s="637"/>
      <c r="E3523" s="637"/>
      <c r="F3523" s="637"/>
      <c r="G3523" s="637"/>
      <c r="H3523" s="637"/>
      <c r="I3523" s="637"/>
      <c r="J3523" s="637"/>
    </row>
    <row r="3524" spans="1:10" x14ac:dyDescent="0.2">
      <c r="A3524" s="626"/>
      <c r="B3524" s="637"/>
      <c r="C3524" s="637"/>
      <c r="D3524" s="637"/>
      <c r="E3524" s="637"/>
      <c r="F3524" s="637"/>
      <c r="G3524" s="637"/>
      <c r="H3524" s="637"/>
      <c r="I3524" s="637"/>
      <c r="J3524" s="637"/>
    </row>
    <row r="3525" spans="1:10" x14ac:dyDescent="0.2">
      <c r="A3525" s="626"/>
      <c r="B3525" s="637"/>
      <c r="C3525" s="637"/>
      <c r="D3525" s="637"/>
      <c r="E3525" s="637"/>
      <c r="F3525" s="637"/>
      <c r="G3525" s="637"/>
      <c r="H3525" s="637"/>
      <c r="I3525" s="637"/>
      <c r="J3525" s="637"/>
    </row>
    <row r="3526" spans="1:10" x14ac:dyDescent="0.2">
      <c r="A3526" s="626"/>
      <c r="B3526" s="637"/>
      <c r="C3526" s="637"/>
      <c r="D3526" s="637"/>
      <c r="E3526" s="637"/>
      <c r="F3526" s="637"/>
      <c r="G3526" s="637"/>
      <c r="H3526" s="637"/>
      <c r="I3526" s="637"/>
      <c r="J3526" s="637"/>
    </row>
    <row r="3527" spans="1:10" x14ac:dyDescent="0.2">
      <c r="A3527" s="626"/>
      <c r="B3527" s="637"/>
      <c r="C3527" s="637"/>
      <c r="D3527" s="637"/>
      <c r="E3527" s="637"/>
      <c r="F3527" s="637"/>
      <c r="G3527" s="637"/>
      <c r="H3527" s="637"/>
      <c r="I3527" s="637"/>
      <c r="J3527" s="637"/>
    </row>
    <row r="3528" spans="1:10" x14ac:dyDescent="0.2">
      <c r="A3528" s="626"/>
      <c r="B3528" s="637"/>
      <c r="C3528" s="637"/>
      <c r="D3528" s="637"/>
      <c r="E3528" s="637"/>
      <c r="F3528" s="637"/>
      <c r="G3528" s="637"/>
      <c r="H3528" s="637"/>
      <c r="I3528" s="637"/>
      <c r="J3528" s="637"/>
    </row>
    <row r="3529" spans="1:10" x14ac:dyDescent="0.2">
      <c r="A3529" s="626"/>
      <c r="B3529" s="637"/>
      <c r="C3529" s="637"/>
      <c r="D3529" s="637"/>
      <c r="E3529" s="637"/>
      <c r="F3529" s="637"/>
      <c r="G3529" s="637"/>
      <c r="H3529" s="637"/>
      <c r="I3529" s="637"/>
      <c r="J3529" s="637"/>
    </row>
    <row r="3530" spans="1:10" x14ac:dyDescent="0.2">
      <c r="A3530" s="626"/>
      <c r="B3530" s="637"/>
      <c r="C3530" s="637"/>
      <c r="D3530" s="637"/>
      <c r="E3530" s="637"/>
      <c r="F3530" s="637"/>
      <c r="G3530" s="637"/>
      <c r="H3530" s="637"/>
      <c r="I3530" s="637"/>
      <c r="J3530" s="637"/>
    </row>
    <row r="3531" spans="1:10" x14ac:dyDescent="0.2">
      <c r="A3531" s="626"/>
      <c r="B3531" s="637"/>
      <c r="C3531" s="637"/>
      <c r="D3531" s="637"/>
      <c r="E3531" s="637"/>
      <c r="F3531" s="637"/>
      <c r="G3531" s="637"/>
      <c r="H3531" s="637"/>
      <c r="I3531" s="637"/>
      <c r="J3531" s="637"/>
    </row>
    <row r="3532" spans="1:10" x14ac:dyDescent="0.2">
      <c r="A3532" s="626"/>
      <c r="B3532" s="637"/>
      <c r="C3532" s="637"/>
      <c r="D3532" s="637"/>
      <c r="E3532" s="637"/>
      <c r="F3532" s="637"/>
      <c r="G3532" s="637"/>
      <c r="H3532" s="637"/>
      <c r="I3532" s="637"/>
      <c r="J3532" s="637"/>
    </row>
    <row r="3533" spans="1:10" x14ac:dyDescent="0.2">
      <c r="A3533" s="626"/>
      <c r="B3533" s="637"/>
      <c r="C3533" s="637"/>
      <c r="D3533" s="637"/>
      <c r="E3533" s="637"/>
      <c r="F3533" s="637"/>
      <c r="G3533" s="637"/>
      <c r="H3533" s="637"/>
      <c r="I3533" s="637"/>
      <c r="J3533" s="637"/>
    </row>
    <row r="3534" spans="1:10" x14ac:dyDescent="0.2">
      <c r="A3534" s="626"/>
      <c r="B3534" s="637"/>
      <c r="C3534" s="637"/>
      <c r="D3534" s="637"/>
      <c r="E3534" s="637"/>
      <c r="F3534" s="637"/>
      <c r="G3534" s="637"/>
      <c r="H3534" s="637"/>
      <c r="I3534" s="637"/>
      <c r="J3534" s="637"/>
    </row>
    <row r="3535" spans="1:10" x14ac:dyDescent="0.2">
      <c r="A3535" s="626"/>
      <c r="B3535" s="637"/>
      <c r="C3535" s="637"/>
      <c r="D3535" s="637"/>
      <c r="E3535" s="637"/>
      <c r="F3535" s="637"/>
      <c r="G3535" s="637"/>
      <c r="H3535" s="637"/>
      <c r="I3535" s="637"/>
      <c r="J3535" s="637"/>
    </row>
    <row r="3536" spans="1:10" x14ac:dyDescent="0.2">
      <c r="A3536" s="626"/>
      <c r="B3536" s="637"/>
      <c r="C3536" s="637"/>
      <c r="D3536" s="637"/>
      <c r="E3536" s="637"/>
      <c r="F3536" s="637"/>
      <c r="G3536" s="637"/>
      <c r="H3536" s="637"/>
      <c r="I3536" s="637"/>
      <c r="J3536" s="637"/>
    </row>
    <row r="3537" spans="1:10" x14ac:dyDescent="0.2">
      <c r="A3537" s="626"/>
      <c r="B3537" s="637"/>
      <c r="C3537" s="637"/>
      <c r="D3537" s="637"/>
      <c r="E3537" s="637"/>
      <c r="F3537" s="637"/>
      <c r="G3537" s="637"/>
      <c r="H3537" s="637"/>
      <c r="I3537" s="637"/>
      <c r="J3537" s="637"/>
    </row>
    <row r="3538" spans="1:10" x14ac:dyDescent="0.2">
      <c r="A3538" s="626"/>
      <c r="B3538" s="637"/>
      <c r="C3538" s="637"/>
      <c r="D3538" s="637"/>
      <c r="E3538" s="637"/>
      <c r="F3538" s="637"/>
      <c r="G3538" s="637"/>
      <c r="H3538" s="637"/>
      <c r="I3538" s="637"/>
      <c r="J3538" s="637"/>
    </row>
    <row r="3539" spans="1:10" x14ac:dyDescent="0.2">
      <c r="A3539" s="626"/>
      <c r="B3539" s="637"/>
      <c r="C3539" s="637"/>
      <c r="D3539" s="637"/>
      <c r="E3539" s="637"/>
      <c r="F3539" s="637"/>
      <c r="G3539" s="637"/>
      <c r="H3539" s="637"/>
      <c r="I3539" s="637"/>
      <c r="J3539" s="637"/>
    </row>
    <row r="3540" spans="1:10" x14ac:dyDescent="0.2">
      <c r="A3540" s="626"/>
      <c r="B3540" s="637"/>
      <c r="C3540" s="637"/>
      <c r="D3540" s="637"/>
      <c r="E3540" s="637"/>
      <c r="F3540" s="637"/>
      <c r="G3540" s="637"/>
      <c r="H3540" s="637"/>
      <c r="I3540" s="637"/>
      <c r="J3540" s="637"/>
    </row>
    <row r="3541" spans="1:10" x14ac:dyDescent="0.2">
      <c r="A3541" s="626"/>
      <c r="B3541" s="637"/>
      <c r="C3541" s="637"/>
      <c r="D3541" s="637"/>
      <c r="E3541" s="637"/>
      <c r="F3541" s="637"/>
      <c r="G3541" s="637"/>
      <c r="H3541" s="637"/>
      <c r="I3541" s="637"/>
      <c r="J3541" s="637"/>
    </row>
    <row r="3542" spans="1:10" x14ac:dyDescent="0.2">
      <c r="A3542" s="626"/>
      <c r="B3542" s="637"/>
      <c r="C3542" s="637"/>
      <c r="D3542" s="637"/>
      <c r="E3542" s="637"/>
      <c r="F3542" s="637"/>
      <c r="G3542" s="637"/>
      <c r="H3542" s="637"/>
      <c r="I3542" s="637"/>
      <c r="J3542" s="637"/>
    </row>
    <row r="3543" spans="1:10" x14ac:dyDescent="0.2">
      <c r="A3543" s="626"/>
      <c r="B3543" s="637"/>
      <c r="C3543" s="637"/>
      <c r="D3543" s="637"/>
      <c r="E3543" s="637"/>
      <c r="F3543" s="637"/>
      <c r="G3543" s="637"/>
      <c r="H3543" s="637"/>
      <c r="I3543" s="637"/>
      <c r="J3543" s="637"/>
    </row>
    <row r="3544" spans="1:10" x14ac:dyDescent="0.2">
      <c r="A3544" s="626"/>
      <c r="B3544" s="637"/>
      <c r="C3544" s="637"/>
      <c r="D3544" s="637"/>
      <c r="E3544" s="637"/>
      <c r="F3544" s="637"/>
      <c r="G3544" s="637"/>
      <c r="H3544" s="637"/>
      <c r="I3544" s="637"/>
      <c r="J3544" s="637"/>
    </row>
    <row r="3545" spans="1:10" x14ac:dyDescent="0.2">
      <c r="A3545" s="626"/>
      <c r="B3545" s="637"/>
      <c r="C3545" s="637"/>
      <c r="D3545" s="637"/>
      <c r="E3545" s="637"/>
      <c r="F3545" s="637"/>
      <c r="G3545" s="637"/>
      <c r="H3545" s="637"/>
      <c r="I3545" s="637"/>
      <c r="J3545" s="637"/>
    </row>
    <row r="3546" spans="1:10" x14ac:dyDescent="0.2">
      <c r="A3546" s="626"/>
      <c r="B3546" s="637"/>
      <c r="C3546" s="637"/>
      <c r="D3546" s="637"/>
      <c r="E3546" s="637"/>
      <c r="F3546" s="637"/>
      <c r="G3546" s="637"/>
      <c r="H3546" s="637"/>
      <c r="I3546" s="637"/>
      <c r="J3546" s="637"/>
    </row>
    <row r="3547" spans="1:10" x14ac:dyDescent="0.2">
      <c r="A3547" s="626"/>
      <c r="B3547" s="637"/>
      <c r="C3547" s="637"/>
      <c r="D3547" s="637"/>
      <c r="E3547" s="637"/>
      <c r="F3547" s="637"/>
      <c r="G3547" s="637"/>
      <c r="H3547" s="637"/>
      <c r="I3547" s="637"/>
      <c r="J3547" s="637"/>
    </row>
    <row r="3548" spans="1:10" x14ac:dyDescent="0.2">
      <c r="A3548" s="626"/>
      <c r="B3548" s="637"/>
      <c r="C3548" s="637"/>
      <c r="D3548" s="637"/>
      <c r="E3548" s="637"/>
      <c r="F3548" s="637"/>
      <c r="G3548" s="637"/>
      <c r="H3548" s="637"/>
      <c r="I3548" s="637"/>
      <c r="J3548" s="637"/>
    </row>
    <row r="3549" spans="1:10" x14ac:dyDescent="0.2">
      <c r="A3549" s="626"/>
      <c r="B3549" s="637"/>
      <c r="C3549" s="637"/>
      <c r="D3549" s="637"/>
      <c r="E3549" s="637"/>
      <c r="F3549" s="637"/>
      <c r="G3549" s="637"/>
      <c r="H3549" s="637"/>
      <c r="I3549" s="637"/>
      <c r="J3549" s="637"/>
    </row>
    <row r="3550" spans="1:10" x14ac:dyDescent="0.2">
      <c r="A3550" s="626"/>
      <c r="B3550" s="637"/>
      <c r="C3550" s="637"/>
      <c r="D3550" s="637"/>
      <c r="E3550" s="637"/>
      <c r="F3550" s="637"/>
      <c r="G3550" s="637"/>
      <c r="H3550" s="637"/>
      <c r="I3550" s="637"/>
      <c r="J3550" s="637"/>
    </row>
    <row r="3551" spans="1:10" x14ac:dyDescent="0.2">
      <c r="A3551" s="626"/>
      <c r="B3551" s="637"/>
      <c r="C3551" s="637"/>
      <c r="D3551" s="637"/>
      <c r="E3551" s="637"/>
      <c r="F3551" s="637"/>
      <c r="G3551" s="637"/>
      <c r="H3551" s="637"/>
      <c r="I3551" s="637"/>
      <c r="J3551" s="637"/>
    </row>
    <row r="3552" spans="1:10" x14ac:dyDescent="0.2">
      <c r="A3552" s="626"/>
      <c r="B3552" s="637"/>
      <c r="C3552" s="637"/>
      <c r="D3552" s="637"/>
      <c r="E3552" s="637"/>
      <c r="F3552" s="637"/>
      <c r="G3552" s="637"/>
      <c r="H3552" s="637"/>
      <c r="I3552" s="637"/>
      <c r="J3552" s="637"/>
    </row>
    <row r="3553" spans="1:10" x14ac:dyDescent="0.2">
      <c r="A3553" s="626"/>
      <c r="B3553" s="637"/>
      <c r="C3553" s="637"/>
      <c r="D3553" s="637"/>
      <c r="E3553" s="637"/>
      <c r="F3553" s="637"/>
      <c r="G3553" s="637"/>
      <c r="H3553" s="637"/>
      <c r="I3553" s="637"/>
      <c r="J3553" s="637"/>
    </row>
    <row r="3554" spans="1:10" x14ac:dyDescent="0.2">
      <c r="A3554" s="626"/>
      <c r="B3554" s="637"/>
      <c r="C3554" s="637"/>
      <c r="D3554" s="637"/>
      <c r="E3554" s="637"/>
      <c r="F3554" s="637"/>
      <c r="G3554" s="637"/>
      <c r="H3554" s="637"/>
      <c r="I3554" s="637"/>
      <c r="J3554" s="637"/>
    </row>
    <row r="3555" spans="1:10" x14ac:dyDescent="0.2">
      <c r="A3555" s="626"/>
      <c r="B3555" s="637"/>
      <c r="C3555" s="637"/>
      <c r="D3555" s="637"/>
      <c r="E3555" s="637"/>
      <c r="F3555" s="637"/>
      <c r="G3555" s="637"/>
      <c r="H3555" s="637"/>
      <c r="I3555" s="637"/>
      <c r="J3555" s="637"/>
    </row>
    <row r="3556" spans="1:10" x14ac:dyDescent="0.2">
      <c r="A3556" s="626"/>
      <c r="B3556" s="637"/>
      <c r="C3556" s="637"/>
      <c r="D3556" s="637"/>
      <c r="E3556" s="637"/>
      <c r="F3556" s="637"/>
      <c r="G3556" s="637"/>
      <c r="H3556" s="637"/>
      <c r="I3556" s="637"/>
      <c r="J3556" s="637"/>
    </row>
    <row r="3557" spans="1:10" x14ac:dyDescent="0.2">
      <c r="A3557" s="626"/>
      <c r="B3557" s="637"/>
      <c r="C3557" s="637"/>
      <c r="D3557" s="637"/>
      <c r="E3557" s="637"/>
      <c r="F3557" s="637"/>
      <c r="G3557" s="637"/>
      <c r="H3557" s="637"/>
      <c r="I3557" s="637"/>
      <c r="J3557" s="637"/>
    </row>
    <row r="3558" spans="1:10" x14ac:dyDescent="0.2">
      <c r="A3558" s="626"/>
      <c r="B3558" s="637"/>
      <c r="C3558" s="637"/>
      <c r="D3558" s="637"/>
      <c r="E3558" s="637"/>
      <c r="F3558" s="637"/>
      <c r="G3558" s="637"/>
      <c r="H3558" s="637"/>
      <c r="I3558" s="637"/>
      <c r="J3558" s="637"/>
    </row>
    <row r="3559" spans="1:10" x14ac:dyDescent="0.2">
      <c r="A3559" s="626"/>
      <c r="B3559" s="637"/>
      <c r="C3559" s="637"/>
      <c r="D3559" s="637"/>
      <c r="E3559" s="637"/>
      <c r="F3559" s="637"/>
      <c r="G3559" s="637"/>
      <c r="H3559" s="637"/>
      <c r="I3559" s="637"/>
      <c r="J3559" s="637"/>
    </row>
    <row r="3560" spans="1:10" x14ac:dyDescent="0.2">
      <c r="A3560" s="626"/>
      <c r="B3560" s="637"/>
      <c r="C3560" s="637"/>
      <c r="D3560" s="637"/>
      <c r="E3560" s="637"/>
      <c r="F3560" s="637"/>
      <c r="G3560" s="637"/>
      <c r="H3560" s="637"/>
      <c r="I3560" s="637"/>
      <c r="J3560" s="637"/>
    </row>
    <row r="3561" spans="1:10" x14ac:dyDescent="0.2">
      <c r="A3561" s="626"/>
      <c r="B3561" s="637"/>
      <c r="C3561" s="637"/>
      <c r="D3561" s="637"/>
      <c r="E3561" s="637"/>
      <c r="F3561" s="637"/>
      <c r="G3561" s="637"/>
      <c r="H3561" s="637"/>
      <c r="I3561" s="637"/>
      <c r="J3561" s="637"/>
    </row>
    <row r="3562" spans="1:10" x14ac:dyDescent="0.2">
      <c r="A3562" s="626"/>
      <c r="B3562" s="637"/>
      <c r="C3562" s="637"/>
      <c r="D3562" s="637"/>
      <c r="E3562" s="637"/>
      <c r="F3562" s="637"/>
      <c r="G3562" s="637"/>
      <c r="H3562" s="637"/>
      <c r="I3562" s="637"/>
      <c r="J3562" s="637"/>
    </row>
    <row r="3563" spans="1:10" x14ac:dyDescent="0.2">
      <c r="A3563" s="626"/>
      <c r="B3563" s="637"/>
      <c r="C3563" s="637"/>
      <c r="D3563" s="637"/>
      <c r="E3563" s="637"/>
      <c r="F3563" s="637"/>
      <c r="G3563" s="637"/>
      <c r="H3563" s="637"/>
      <c r="I3563" s="637"/>
      <c r="J3563" s="637"/>
    </row>
    <row r="3564" spans="1:10" x14ac:dyDescent="0.2">
      <c r="A3564" s="626"/>
      <c r="B3564" s="637"/>
      <c r="C3564" s="637"/>
      <c r="D3564" s="637"/>
      <c r="E3564" s="637"/>
      <c r="F3564" s="637"/>
      <c r="G3564" s="637"/>
      <c r="H3564" s="637"/>
      <c r="I3564" s="637"/>
      <c r="J3564" s="637"/>
    </row>
    <row r="3565" spans="1:10" x14ac:dyDescent="0.2">
      <c r="A3565" s="626"/>
      <c r="B3565" s="637"/>
      <c r="C3565" s="637"/>
      <c r="D3565" s="637"/>
      <c r="E3565" s="637"/>
      <c r="F3565" s="637"/>
      <c r="G3565" s="637"/>
      <c r="H3565" s="637"/>
      <c r="I3565" s="637"/>
      <c r="J3565" s="637"/>
    </row>
    <row r="3566" spans="1:10" x14ac:dyDescent="0.2">
      <c r="A3566" s="626"/>
      <c r="B3566" s="637"/>
      <c r="C3566" s="637"/>
      <c r="D3566" s="637"/>
      <c r="E3566" s="637"/>
      <c r="F3566" s="637"/>
      <c r="G3566" s="637"/>
      <c r="H3566" s="637"/>
      <c r="I3566" s="637"/>
      <c r="J3566" s="637"/>
    </row>
    <row r="3567" spans="1:10" x14ac:dyDescent="0.2">
      <c r="A3567" s="626"/>
      <c r="B3567" s="637"/>
      <c r="C3567" s="637"/>
      <c r="D3567" s="637"/>
      <c r="E3567" s="637"/>
      <c r="F3567" s="637"/>
      <c r="G3567" s="637"/>
      <c r="H3567" s="637"/>
      <c r="I3567" s="637"/>
      <c r="J3567" s="637"/>
    </row>
    <row r="3568" spans="1:10" x14ac:dyDescent="0.2">
      <c r="A3568" s="626"/>
      <c r="B3568" s="637"/>
      <c r="C3568" s="637"/>
      <c r="D3568" s="637"/>
      <c r="E3568" s="637"/>
      <c r="F3568" s="637"/>
      <c r="G3568" s="637"/>
      <c r="H3568" s="637"/>
      <c r="I3568" s="637"/>
      <c r="J3568" s="637"/>
    </row>
    <row r="3569" spans="1:10" x14ac:dyDescent="0.2">
      <c r="A3569" s="626"/>
      <c r="B3569" s="637"/>
      <c r="C3569" s="637"/>
      <c r="D3569" s="637"/>
      <c r="E3569" s="637"/>
      <c r="F3569" s="637"/>
      <c r="G3569" s="637"/>
      <c r="H3569" s="637"/>
      <c r="I3569" s="637"/>
      <c r="J3569" s="637"/>
    </row>
    <row r="3570" spans="1:10" x14ac:dyDescent="0.2">
      <c r="A3570" s="626"/>
      <c r="B3570" s="637"/>
      <c r="C3570" s="637"/>
      <c r="D3570" s="637"/>
      <c r="E3570" s="637"/>
      <c r="F3570" s="637"/>
      <c r="G3570" s="637"/>
      <c r="H3570" s="637"/>
      <c r="I3570" s="637"/>
      <c r="J3570" s="637"/>
    </row>
    <row r="3571" spans="1:10" x14ac:dyDescent="0.2">
      <c r="A3571" s="626"/>
      <c r="B3571" s="637"/>
      <c r="C3571" s="637"/>
      <c r="D3571" s="637"/>
      <c r="E3571" s="637"/>
      <c r="F3571" s="637"/>
      <c r="G3571" s="637"/>
      <c r="H3571" s="637"/>
      <c r="I3571" s="637"/>
      <c r="J3571" s="637"/>
    </row>
    <row r="3572" spans="1:10" x14ac:dyDescent="0.2">
      <c r="A3572" s="626"/>
      <c r="B3572" s="637"/>
      <c r="C3572" s="637"/>
      <c r="D3572" s="637"/>
      <c r="E3572" s="637"/>
      <c r="F3572" s="637"/>
      <c r="G3572" s="637"/>
      <c r="H3572" s="637"/>
      <c r="I3572" s="637"/>
      <c r="J3572" s="637"/>
    </row>
    <row r="3573" spans="1:10" x14ac:dyDescent="0.2">
      <c r="A3573" s="626"/>
      <c r="B3573" s="637"/>
      <c r="C3573" s="637"/>
      <c r="D3573" s="637"/>
      <c r="E3573" s="637"/>
      <c r="F3573" s="637"/>
      <c r="G3573" s="637"/>
      <c r="H3573" s="637"/>
      <c r="I3573" s="637"/>
      <c r="J3573" s="637"/>
    </row>
    <row r="3574" spans="1:10" x14ac:dyDescent="0.2">
      <c r="A3574" s="626"/>
      <c r="B3574" s="637"/>
      <c r="C3574" s="637"/>
      <c r="D3574" s="637"/>
      <c r="E3574" s="637"/>
      <c r="F3574" s="637"/>
      <c r="G3574" s="637"/>
      <c r="H3574" s="637"/>
      <c r="I3574" s="637"/>
      <c r="J3574" s="637"/>
    </row>
    <row r="3575" spans="1:10" x14ac:dyDescent="0.2">
      <c r="A3575" s="626"/>
      <c r="B3575" s="637"/>
      <c r="C3575" s="637"/>
      <c r="D3575" s="637"/>
      <c r="E3575" s="637"/>
      <c r="F3575" s="637"/>
      <c r="G3575" s="637"/>
      <c r="H3575" s="637"/>
      <c r="I3575" s="637"/>
      <c r="J3575" s="637"/>
    </row>
    <row r="3576" spans="1:10" x14ac:dyDescent="0.2">
      <c r="A3576" s="626"/>
      <c r="B3576" s="637"/>
      <c r="C3576" s="637"/>
      <c r="D3576" s="637"/>
      <c r="E3576" s="637"/>
      <c r="F3576" s="637"/>
      <c r="G3576" s="637"/>
      <c r="H3576" s="637"/>
      <c r="I3576" s="637"/>
      <c r="J3576" s="637"/>
    </row>
    <row r="3577" spans="1:10" x14ac:dyDescent="0.2">
      <c r="A3577" s="626"/>
      <c r="B3577" s="637"/>
      <c r="C3577" s="637"/>
      <c r="D3577" s="637"/>
      <c r="E3577" s="637"/>
      <c r="F3577" s="637"/>
      <c r="G3577" s="637"/>
      <c r="H3577" s="637"/>
      <c r="I3577" s="637"/>
      <c r="J3577" s="637"/>
    </row>
    <row r="3578" spans="1:10" x14ac:dyDescent="0.2">
      <c r="A3578" s="626"/>
      <c r="B3578" s="637"/>
      <c r="C3578" s="637"/>
      <c r="D3578" s="637"/>
      <c r="E3578" s="637"/>
      <c r="F3578" s="637"/>
      <c r="G3578" s="637"/>
      <c r="H3578" s="637"/>
      <c r="I3578" s="637"/>
      <c r="J3578" s="637"/>
    </row>
    <row r="3579" spans="1:10" x14ac:dyDescent="0.2">
      <c r="A3579" s="626"/>
      <c r="B3579" s="637"/>
      <c r="C3579" s="637"/>
      <c r="D3579" s="637"/>
      <c r="E3579" s="637"/>
      <c r="F3579" s="637"/>
      <c r="G3579" s="637"/>
      <c r="H3579" s="637"/>
      <c r="I3579" s="637"/>
      <c r="J3579" s="637"/>
    </row>
    <row r="3580" spans="1:10" x14ac:dyDescent="0.2">
      <c r="A3580" s="626"/>
      <c r="B3580" s="637"/>
      <c r="C3580" s="637"/>
      <c r="D3580" s="637"/>
      <c r="E3580" s="637"/>
      <c r="F3580" s="637"/>
      <c r="G3580" s="637"/>
      <c r="H3580" s="637"/>
      <c r="I3580" s="637"/>
      <c r="J3580" s="637"/>
    </row>
    <row r="3581" spans="1:10" x14ac:dyDescent="0.2">
      <c r="A3581" s="626"/>
      <c r="B3581" s="637"/>
      <c r="C3581" s="637"/>
      <c r="D3581" s="637"/>
      <c r="E3581" s="637"/>
      <c r="F3581" s="637"/>
      <c r="G3581" s="637"/>
      <c r="H3581" s="637"/>
      <c r="I3581" s="637"/>
      <c r="J3581" s="637"/>
    </row>
    <row r="3582" spans="1:10" x14ac:dyDescent="0.2">
      <c r="A3582" s="626"/>
      <c r="B3582" s="637"/>
      <c r="C3582" s="637"/>
      <c r="D3582" s="637"/>
      <c r="E3582" s="637"/>
      <c r="F3582" s="637"/>
      <c r="G3582" s="637"/>
      <c r="H3582" s="637"/>
      <c r="I3582" s="637"/>
      <c r="J3582" s="637"/>
    </row>
    <row r="3583" spans="1:10" x14ac:dyDescent="0.2">
      <c r="A3583" s="626"/>
      <c r="B3583" s="637"/>
      <c r="C3583" s="637"/>
      <c r="D3583" s="637"/>
      <c r="E3583" s="637"/>
      <c r="F3583" s="637"/>
      <c r="G3583" s="637"/>
      <c r="H3583" s="637"/>
      <c r="I3583" s="637"/>
      <c r="J3583" s="637"/>
    </row>
    <row r="3584" spans="1:10" x14ac:dyDescent="0.2">
      <c r="A3584" s="626"/>
      <c r="B3584" s="637"/>
      <c r="C3584" s="637"/>
      <c r="D3584" s="637"/>
      <c r="E3584" s="637"/>
      <c r="F3584" s="637"/>
      <c r="G3584" s="637"/>
      <c r="H3584" s="637"/>
      <c r="I3584" s="637"/>
      <c r="J3584" s="637"/>
    </row>
    <row r="3585" spans="1:10" x14ac:dyDescent="0.2">
      <c r="A3585" s="626"/>
      <c r="B3585" s="637"/>
      <c r="C3585" s="637"/>
      <c r="D3585" s="637"/>
      <c r="E3585" s="637"/>
      <c r="F3585" s="637"/>
      <c r="G3585" s="637"/>
      <c r="H3585" s="637"/>
      <c r="I3585" s="637"/>
      <c r="J3585" s="637"/>
    </row>
    <row r="3586" spans="1:10" x14ac:dyDescent="0.2">
      <c r="A3586" s="626"/>
      <c r="B3586" s="637"/>
      <c r="C3586" s="637"/>
      <c r="D3586" s="637"/>
      <c r="E3586" s="637"/>
      <c r="F3586" s="637"/>
      <c r="G3586" s="637"/>
      <c r="H3586" s="637"/>
      <c r="I3586" s="637"/>
      <c r="J3586" s="637"/>
    </row>
    <row r="3587" spans="1:10" x14ac:dyDescent="0.2">
      <c r="A3587" s="626"/>
      <c r="B3587" s="637"/>
      <c r="C3587" s="637"/>
      <c r="D3587" s="637"/>
      <c r="E3587" s="637"/>
      <c r="F3587" s="637"/>
      <c r="G3587" s="637"/>
      <c r="H3587" s="637"/>
      <c r="I3587" s="637"/>
      <c r="J3587" s="637"/>
    </row>
    <row r="3588" spans="1:10" x14ac:dyDescent="0.2">
      <c r="A3588" s="626"/>
      <c r="B3588" s="637"/>
      <c r="C3588" s="637"/>
      <c r="D3588" s="637"/>
      <c r="E3588" s="637"/>
      <c r="F3588" s="637"/>
      <c r="G3588" s="637"/>
      <c r="H3588" s="637"/>
      <c r="I3588" s="637"/>
      <c r="J3588" s="637"/>
    </row>
    <row r="3589" spans="1:10" x14ac:dyDescent="0.2">
      <c r="A3589" s="626"/>
      <c r="B3589" s="637"/>
      <c r="C3589" s="637"/>
      <c r="D3589" s="637"/>
      <c r="E3589" s="637"/>
      <c r="F3589" s="637"/>
      <c r="G3589" s="637"/>
      <c r="H3589" s="637"/>
      <c r="I3589" s="637"/>
      <c r="J3589" s="637"/>
    </row>
    <row r="3590" spans="1:10" x14ac:dyDescent="0.2">
      <c r="A3590" s="626"/>
      <c r="B3590" s="637"/>
      <c r="C3590" s="637"/>
      <c r="D3590" s="637"/>
      <c r="E3590" s="637"/>
      <c r="F3590" s="637"/>
      <c r="G3590" s="637"/>
      <c r="H3590" s="637"/>
      <c r="I3590" s="637"/>
      <c r="J3590" s="637"/>
    </row>
    <row r="3591" spans="1:10" x14ac:dyDescent="0.2">
      <c r="A3591" s="626"/>
      <c r="B3591" s="637"/>
      <c r="C3591" s="637"/>
      <c r="D3591" s="637"/>
      <c r="E3591" s="637"/>
      <c r="F3591" s="637"/>
      <c r="G3591" s="637"/>
      <c r="H3591" s="637"/>
      <c r="I3591" s="637"/>
      <c r="J3591" s="637"/>
    </row>
    <row r="3592" spans="1:10" x14ac:dyDescent="0.2">
      <c r="A3592" s="626"/>
      <c r="B3592" s="637"/>
      <c r="C3592" s="637"/>
      <c r="D3592" s="637"/>
      <c r="E3592" s="637"/>
      <c r="F3592" s="637"/>
      <c r="G3592" s="637"/>
      <c r="H3592" s="637"/>
      <c r="I3592" s="637"/>
      <c r="J3592" s="637"/>
    </row>
    <row r="3593" spans="1:10" x14ac:dyDescent="0.2">
      <c r="A3593" s="626"/>
      <c r="B3593" s="637"/>
      <c r="C3593" s="637"/>
      <c r="D3593" s="637"/>
      <c r="E3593" s="637"/>
      <c r="F3593" s="637"/>
      <c r="G3593" s="637"/>
      <c r="H3593" s="637"/>
      <c r="I3593" s="637"/>
      <c r="J3593" s="637"/>
    </row>
    <row r="3594" spans="1:10" x14ac:dyDescent="0.2">
      <c r="A3594" s="626"/>
      <c r="B3594" s="637"/>
      <c r="C3594" s="637"/>
      <c r="D3594" s="637"/>
      <c r="E3594" s="637"/>
      <c r="F3594" s="637"/>
      <c r="G3594" s="637"/>
      <c r="H3594" s="637"/>
      <c r="I3594" s="637"/>
      <c r="J3594" s="637"/>
    </row>
    <row r="3595" spans="1:10" x14ac:dyDescent="0.2">
      <c r="A3595" s="626"/>
      <c r="B3595" s="637"/>
      <c r="C3595" s="637"/>
      <c r="D3595" s="637"/>
      <c r="E3595" s="637"/>
      <c r="F3595" s="637"/>
      <c r="G3595" s="637"/>
      <c r="H3595" s="637"/>
      <c r="I3595" s="637"/>
      <c r="J3595" s="637"/>
    </row>
    <row r="3596" spans="1:10" x14ac:dyDescent="0.2">
      <c r="A3596" s="626"/>
      <c r="B3596" s="637"/>
      <c r="C3596" s="637"/>
      <c r="D3596" s="637"/>
      <c r="E3596" s="637"/>
      <c r="F3596" s="637"/>
      <c r="G3596" s="637"/>
      <c r="H3596" s="637"/>
      <c r="I3596" s="637"/>
      <c r="J3596" s="637"/>
    </row>
    <row r="3597" spans="1:10" x14ac:dyDescent="0.2">
      <c r="A3597" s="626"/>
      <c r="B3597" s="637"/>
      <c r="C3597" s="637"/>
      <c r="D3597" s="637"/>
      <c r="E3597" s="637"/>
      <c r="F3597" s="637"/>
      <c r="G3597" s="637"/>
      <c r="H3597" s="637"/>
      <c r="I3597" s="637"/>
      <c r="J3597" s="637"/>
    </row>
    <row r="3598" spans="1:10" x14ac:dyDescent="0.2">
      <c r="A3598" s="626"/>
      <c r="B3598" s="637"/>
      <c r="C3598" s="637"/>
      <c r="D3598" s="637"/>
      <c r="E3598" s="637"/>
      <c r="F3598" s="637"/>
      <c r="G3598" s="637"/>
      <c r="H3598" s="637"/>
      <c r="I3598" s="637"/>
      <c r="J3598" s="637"/>
    </row>
    <row r="3599" spans="1:10" x14ac:dyDescent="0.2">
      <c r="A3599" s="626"/>
      <c r="B3599" s="637"/>
      <c r="C3599" s="637"/>
      <c r="D3599" s="637"/>
      <c r="E3599" s="637"/>
      <c r="F3599" s="637"/>
      <c r="G3599" s="637"/>
      <c r="H3599" s="637"/>
      <c r="I3599" s="637"/>
      <c r="J3599" s="637"/>
    </row>
    <row r="3600" spans="1:10" x14ac:dyDescent="0.2">
      <c r="A3600" s="626"/>
      <c r="B3600" s="637"/>
      <c r="C3600" s="637"/>
      <c r="D3600" s="637"/>
      <c r="E3600" s="637"/>
      <c r="F3600" s="637"/>
      <c r="G3600" s="637"/>
      <c r="H3600" s="637"/>
      <c r="I3600" s="637"/>
      <c r="J3600" s="637"/>
    </row>
    <row r="3601" spans="1:10" x14ac:dyDescent="0.2">
      <c r="A3601" s="626"/>
      <c r="B3601" s="637"/>
      <c r="C3601" s="637"/>
      <c r="D3601" s="637"/>
      <c r="E3601" s="637"/>
      <c r="F3601" s="637"/>
      <c r="G3601" s="637"/>
      <c r="H3601" s="637"/>
      <c r="I3601" s="637"/>
      <c r="J3601" s="637"/>
    </row>
    <row r="3602" spans="1:10" x14ac:dyDescent="0.2">
      <c r="A3602" s="626"/>
      <c r="B3602" s="637"/>
      <c r="C3602" s="637"/>
      <c r="D3602" s="637"/>
      <c r="E3602" s="637"/>
      <c r="F3602" s="637"/>
      <c r="G3602" s="637"/>
      <c r="H3602" s="637"/>
      <c r="I3602" s="637"/>
      <c r="J3602" s="637"/>
    </row>
    <row r="3603" spans="1:10" x14ac:dyDescent="0.2">
      <c r="A3603" s="626"/>
      <c r="B3603" s="637"/>
      <c r="C3603" s="637"/>
      <c r="D3603" s="637"/>
      <c r="E3603" s="637"/>
      <c r="F3603" s="637"/>
      <c r="G3603" s="637"/>
      <c r="H3603" s="637"/>
      <c r="I3603" s="637"/>
      <c r="J3603" s="637"/>
    </row>
    <row r="3604" spans="1:10" x14ac:dyDescent="0.2">
      <c r="A3604" s="626"/>
      <c r="B3604" s="637"/>
      <c r="C3604" s="637"/>
      <c r="D3604" s="637"/>
      <c r="E3604" s="637"/>
      <c r="F3604" s="637"/>
      <c r="G3604" s="637"/>
      <c r="H3604" s="637"/>
      <c r="I3604" s="637"/>
      <c r="J3604" s="637"/>
    </row>
    <row r="3605" spans="1:10" x14ac:dyDescent="0.2">
      <c r="A3605" s="626"/>
      <c r="B3605" s="637"/>
      <c r="C3605" s="637"/>
      <c r="D3605" s="637"/>
      <c r="E3605" s="637"/>
      <c r="F3605" s="637"/>
      <c r="G3605" s="637"/>
      <c r="H3605" s="637"/>
      <c r="I3605" s="637"/>
      <c r="J3605" s="637"/>
    </row>
    <row r="3606" spans="1:10" x14ac:dyDescent="0.2">
      <c r="A3606" s="626"/>
      <c r="B3606" s="637"/>
      <c r="C3606" s="637"/>
      <c r="D3606" s="637"/>
      <c r="E3606" s="637"/>
      <c r="F3606" s="637"/>
      <c r="G3606" s="637"/>
      <c r="H3606" s="637"/>
      <c r="I3606" s="637"/>
      <c r="J3606" s="637"/>
    </row>
    <row r="3607" spans="1:10" x14ac:dyDescent="0.2">
      <c r="A3607" s="626"/>
      <c r="B3607" s="637"/>
      <c r="C3607" s="637"/>
      <c r="D3607" s="637"/>
      <c r="E3607" s="637"/>
      <c r="F3607" s="637"/>
      <c r="G3607" s="637"/>
      <c r="H3607" s="637"/>
      <c r="I3607" s="637"/>
      <c r="J3607" s="637"/>
    </row>
    <row r="3608" spans="1:10" x14ac:dyDescent="0.2">
      <c r="A3608" s="626"/>
      <c r="B3608" s="637"/>
      <c r="C3608" s="637"/>
      <c r="D3608" s="637"/>
      <c r="E3608" s="637"/>
      <c r="F3608" s="637"/>
      <c r="G3608" s="637"/>
      <c r="H3608" s="637"/>
      <c r="I3608" s="637"/>
      <c r="J3608" s="637"/>
    </row>
    <row r="3609" spans="1:10" x14ac:dyDescent="0.2">
      <c r="A3609" s="626"/>
      <c r="B3609" s="637"/>
      <c r="C3609" s="637"/>
      <c r="D3609" s="637"/>
      <c r="E3609" s="637"/>
      <c r="F3609" s="637"/>
      <c r="G3609" s="637"/>
      <c r="H3609" s="637"/>
      <c r="I3609" s="637"/>
      <c r="J3609" s="637"/>
    </row>
    <row r="3610" spans="1:10" x14ac:dyDescent="0.2">
      <c r="A3610" s="626"/>
      <c r="B3610" s="637"/>
      <c r="C3610" s="637"/>
      <c r="D3610" s="637"/>
      <c r="E3610" s="637"/>
      <c r="F3610" s="637"/>
      <c r="G3610" s="637"/>
      <c r="H3610" s="637"/>
      <c r="I3610" s="637"/>
      <c r="J3610" s="637"/>
    </row>
    <row r="3611" spans="1:10" x14ac:dyDescent="0.2">
      <c r="A3611" s="626"/>
      <c r="B3611" s="637"/>
      <c r="C3611" s="637"/>
      <c r="D3611" s="637"/>
      <c r="E3611" s="637"/>
      <c r="F3611" s="637"/>
      <c r="G3611" s="637"/>
      <c r="H3611" s="637"/>
      <c r="I3611" s="637"/>
      <c r="J3611" s="637"/>
    </row>
    <row r="3612" spans="1:10" x14ac:dyDescent="0.2">
      <c r="A3612" s="626"/>
      <c r="B3612" s="637"/>
      <c r="C3612" s="637"/>
      <c r="D3612" s="637"/>
      <c r="E3612" s="637"/>
      <c r="F3612" s="637"/>
      <c r="G3612" s="637"/>
      <c r="H3612" s="637"/>
      <c r="I3612" s="637"/>
      <c r="J3612" s="637"/>
    </row>
    <row r="3613" spans="1:10" x14ac:dyDescent="0.2">
      <c r="A3613" s="626"/>
      <c r="B3613" s="637"/>
      <c r="C3613" s="637"/>
      <c r="D3613" s="637"/>
      <c r="E3613" s="637"/>
      <c r="F3613" s="637"/>
      <c r="G3613" s="637"/>
      <c r="H3613" s="637"/>
      <c r="I3613" s="637"/>
      <c r="J3613" s="637"/>
    </row>
    <row r="3614" spans="1:10" x14ac:dyDescent="0.2">
      <c r="A3614" s="626"/>
      <c r="B3614" s="637"/>
      <c r="C3614" s="637"/>
      <c r="D3614" s="637"/>
      <c r="E3614" s="637"/>
      <c r="F3614" s="637"/>
      <c r="G3614" s="637"/>
      <c r="H3614" s="637"/>
      <c r="I3614" s="637"/>
      <c r="J3614" s="637"/>
    </row>
    <row r="3615" spans="1:10" x14ac:dyDescent="0.2">
      <c r="A3615" s="626"/>
      <c r="B3615" s="637"/>
      <c r="C3615" s="637"/>
      <c r="D3615" s="637"/>
      <c r="E3615" s="637"/>
      <c r="F3615" s="637"/>
      <c r="G3615" s="637"/>
      <c r="H3615" s="637"/>
      <c r="I3615" s="637"/>
      <c r="J3615" s="637"/>
    </row>
    <row r="3616" spans="1:10" x14ac:dyDescent="0.2">
      <c r="A3616" s="626"/>
      <c r="B3616" s="637"/>
      <c r="C3616" s="637"/>
      <c r="D3616" s="637"/>
      <c r="E3616" s="637"/>
      <c r="F3616" s="637"/>
      <c r="G3616" s="637"/>
      <c r="H3616" s="637"/>
      <c r="I3616" s="637"/>
      <c r="J3616" s="637"/>
    </row>
    <row r="3617" spans="1:10" x14ac:dyDescent="0.2">
      <c r="A3617" s="626"/>
      <c r="B3617" s="637"/>
      <c r="C3617" s="637"/>
      <c r="D3617" s="637"/>
      <c r="E3617" s="637"/>
      <c r="F3617" s="637"/>
      <c r="G3617" s="637"/>
      <c r="H3617" s="637"/>
      <c r="I3617" s="637"/>
      <c r="J3617" s="637"/>
    </row>
    <row r="3618" spans="1:10" x14ac:dyDescent="0.2">
      <c r="A3618" s="626"/>
      <c r="B3618" s="637"/>
      <c r="C3618" s="637"/>
      <c r="D3618" s="637"/>
      <c r="E3618" s="637"/>
      <c r="F3618" s="637"/>
      <c r="G3618" s="637"/>
      <c r="H3618" s="637"/>
      <c r="I3618" s="637"/>
      <c r="J3618" s="637"/>
    </row>
    <row r="3619" spans="1:10" x14ac:dyDescent="0.2">
      <c r="A3619" s="626"/>
      <c r="B3619" s="637"/>
      <c r="C3619" s="637"/>
      <c r="D3619" s="637"/>
      <c r="E3619" s="637"/>
      <c r="F3619" s="637"/>
      <c r="G3619" s="637"/>
      <c r="H3619" s="637"/>
      <c r="I3619" s="637"/>
      <c r="J3619" s="637"/>
    </row>
    <row r="3620" spans="1:10" x14ac:dyDescent="0.2">
      <c r="A3620" s="626"/>
      <c r="B3620" s="637"/>
      <c r="C3620" s="637"/>
      <c r="D3620" s="637"/>
      <c r="E3620" s="637"/>
      <c r="F3620" s="637"/>
      <c r="G3620" s="637"/>
      <c r="H3620" s="637"/>
      <c r="I3620" s="637"/>
      <c r="J3620" s="637"/>
    </row>
    <row r="3621" spans="1:10" x14ac:dyDescent="0.2">
      <c r="A3621" s="626"/>
      <c r="B3621" s="637"/>
      <c r="C3621" s="637"/>
      <c r="D3621" s="637"/>
      <c r="E3621" s="637"/>
      <c r="F3621" s="637"/>
      <c r="G3621" s="637"/>
      <c r="H3621" s="637"/>
      <c r="I3621" s="637"/>
      <c r="J3621" s="637"/>
    </row>
    <row r="3622" spans="1:10" x14ac:dyDescent="0.2">
      <c r="A3622" s="626"/>
      <c r="B3622" s="637"/>
      <c r="C3622" s="637"/>
      <c r="D3622" s="637"/>
      <c r="E3622" s="637"/>
      <c r="F3622" s="637"/>
      <c r="G3622" s="637"/>
      <c r="H3622" s="637"/>
      <c r="I3622" s="637"/>
      <c r="J3622" s="637"/>
    </row>
    <row r="3623" spans="1:10" x14ac:dyDescent="0.2">
      <c r="A3623" s="626"/>
      <c r="B3623" s="637"/>
      <c r="C3623" s="637"/>
      <c r="D3623" s="637"/>
      <c r="E3623" s="637"/>
      <c r="F3623" s="637"/>
      <c r="G3623" s="637"/>
      <c r="H3623" s="637"/>
      <c r="I3623" s="637"/>
      <c r="J3623" s="637"/>
    </row>
    <row r="3624" spans="1:10" x14ac:dyDescent="0.2">
      <c r="A3624" s="626"/>
      <c r="B3624" s="637"/>
      <c r="C3624" s="637"/>
      <c r="D3624" s="637"/>
      <c r="E3624" s="637"/>
      <c r="F3624" s="637"/>
      <c r="G3624" s="637"/>
      <c r="H3624" s="637"/>
      <c r="I3624" s="637"/>
      <c r="J3624" s="637"/>
    </row>
    <row r="3625" spans="1:10" x14ac:dyDescent="0.2">
      <c r="A3625" s="626"/>
      <c r="B3625" s="637"/>
      <c r="C3625" s="637"/>
      <c r="D3625" s="637"/>
      <c r="E3625" s="637"/>
      <c r="F3625" s="637"/>
      <c r="G3625" s="637"/>
      <c r="H3625" s="637"/>
      <c r="I3625" s="637"/>
      <c r="J3625" s="637"/>
    </row>
    <row r="3626" spans="1:10" x14ac:dyDescent="0.2">
      <c r="A3626" s="626"/>
      <c r="B3626" s="637"/>
      <c r="C3626" s="637"/>
      <c r="D3626" s="637"/>
      <c r="E3626" s="637"/>
      <c r="F3626" s="637"/>
      <c r="G3626" s="637"/>
      <c r="H3626" s="637"/>
      <c r="I3626" s="637"/>
      <c r="J3626" s="637"/>
    </row>
    <row r="3627" spans="1:10" x14ac:dyDescent="0.2">
      <c r="A3627" s="626"/>
      <c r="B3627" s="637"/>
      <c r="C3627" s="637"/>
      <c r="D3627" s="637"/>
      <c r="E3627" s="637"/>
      <c r="F3627" s="637"/>
      <c r="G3627" s="637"/>
      <c r="H3627" s="637"/>
      <c r="I3627" s="637"/>
      <c r="J3627" s="637"/>
    </row>
    <row r="3628" spans="1:10" x14ac:dyDescent="0.2">
      <c r="A3628" s="626"/>
      <c r="B3628" s="637"/>
      <c r="C3628" s="637"/>
      <c r="D3628" s="637"/>
      <c r="E3628" s="637"/>
      <c r="F3628" s="637"/>
      <c r="G3628" s="637"/>
      <c r="H3628" s="637"/>
      <c r="I3628" s="637"/>
      <c r="J3628" s="637"/>
    </row>
    <row r="3629" spans="1:10" x14ac:dyDescent="0.2">
      <c r="A3629" s="626"/>
      <c r="B3629" s="637"/>
      <c r="C3629" s="637"/>
      <c r="D3629" s="637"/>
      <c r="E3629" s="637"/>
      <c r="F3629" s="637"/>
      <c r="G3629" s="637"/>
      <c r="H3629" s="637"/>
      <c r="I3629" s="637"/>
      <c r="J3629" s="637"/>
    </row>
    <row r="3630" spans="1:10" x14ac:dyDescent="0.2">
      <c r="A3630" s="626"/>
      <c r="B3630" s="637"/>
      <c r="C3630" s="637"/>
      <c r="D3630" s="637"/>
      <c r="E3630" s="637"/>
      <c r="F3630" s="637"/>
      <c r="G3630" s="637"/>
      <c r="H3630" s="637"/>
      <c r="I3630" s="637"/>
      <c r="J3630" s="637"/>
    </row>
    <row r="3631" spans="1:10" x14ac:dyDescent="0.2">
      <c r="A3631" s="626"/>
      <c r="B3631" s="637"/>
      <c r="C3631" s="637"/>
      <c r="D3631" s="637"/>
      <c r="E3631" s="637"/>
      <c r="F3631" s="637"/>
      <c r="G3631" s="637"/>
      <c r="H3631" s="637"/>
      <c r="I3631" s="637"/>
      <c r="J3631" s="637"/>
    </row>
    <row r="3632" spans="1:10" x14ac:dyDescent="0.2">
      <c r="A3632" s="626"/>
      <c r="B3632" s="637"/>
      <c r="C3632" s="637"/>
      <c r="D3632" s="637"/>
      <c r="E3632" s="637"/>
      <c r="F3632" s="637"/>
      <c r="G3632" s="637"/>
      <c r="H3632" s="637"/>
      <c r="I3632" s="637"/>
      <c r="J3632" s="637"/>
    </row>
    <row r="3633" spans="1:10" x14ac:dyDescent="0.2">
      <c r="A3633" s="626"/>
      <c r="B3633" s="637"/>
      <c r="C3633" s="637"/>
      <c r="D3633" s="637"/>
      <c r="E3633" s="637"/>
      <c r="F3633" s="637"/>
      <c r="G3633" s="637"/>
      <c r="H3633" s="637"/>
      <c r="I3633" s="637"/>
      <c r="J3633" s="637"/>
    </row>
    <row r="3634" spans="1:10" x14ac:dyDescent="0.2">
      <c r="A3634" s="626"/>
      <c r="B3634" s="637"/>
      <c r="C3634" s="637"/>
      <c r="D3634" s="637"/>
      <c r="E3634" s="637"/>
      <c r="F3634" s="637"/>
      <c r="G3634" s="637"/>
      <c r="H3634" s="637"/>
      <c r="I3634" s="637"/>
      <c r="J3634" s="637"/>
    </row>
    <row r="3635" spans="1:10" x14ac:dyDescent="0.2">
      <c r="A3635" s="626"/>
      <c r="B3635" s="637"/>
      <c r="C3635" s="637"/>
      <c r="D3635" s="637"/>
      <c r="E3635" s="637"/>
      <c r="F3635" s="637"/>
      <c r="G3635" s="637"/>
      <c r="H3635" s="637"/>
      <c r="I3635" s="637"/>
      <c r="J3635" s="637"/>
    </row>
    <row r="3636" spans="1:10" x14ac:dyDescent="0.2">
      <c r="A3636" s="626"/>
      <c r="B3636" s="637"/>
      <c r="C3636" s="637"/>
      <c r="D3636" s="637"/>
      <c r="E3636" s="637"/>
      <c r="F3636" s="637"/>
      <c r="G3636" s="637"/>
      <c r="H3636" s="637"/>
      <c r="I3636" s="637"/>
      <c r="J3636" s="637"/>
    </row>
    <row r="3637" spans="1:10" x14ac:dyDescent="0.2">
      <c r="A3637" s="626"/>
      <c r="B3637" s="637"/>
      <c r="C3637" s="637"/>
      <c r="D3637" s="637"/>
      <c r="E3637" s="637"/>
      <c r="F3637" s="637"/>
      <c r="G3637" s="637"/>
      <c r="H3637" s="637"/>
      <c r="I3637" s="637"/>
      <c r="J3637" s="637"/>
    </row>
    <row r="3638" spans="1:10" x14ac:dyDescent="0.2">
      <c r="A3638" s="626"/>
      <c r="B3638" s="637"/>
      <c r="C3638" s="637"/>
      <c r="D3638" s="637"/>
      <c r="E3638" s="637"/>
      <c r="F3638" s="637"/>
      <c r="G3638" s="637"/>
      <c r="H3638" s="637"/>
      <c r="I3638" s="637"/>
      <c r="J3638" s="637"/>
    </row>
    <row r="3639" spans="1:10" x14ac:dyDescent="0.2">
      <c r="A3639" s="626"/>
      <c r="B3639" s="637"/>
      <c r="C3639" s="637"/>
      <c r="D3639" s="637"/>
      <c r="E3639" s="637"/>
      <c r="F3639" s="637"/>
      <c r="G3639" s="637"/>
      <c r="H3639" s="637"/>
      <c r="I3639" s="637"/>
      <c r="J3639" s="637"/>
    </row>
    <row r="3640" spans="1:10" x14ac:dyDescent="0.2">
      <c r="A3640" s="626"/>
      <c r="B3640" s="637"/>
      <c r="C3640" s="637"/>
      <c r="D3640" s="637"/>
      <c r="E3640" s="637"/>
      <c r="F3640" s="637"/>
      <c r="G3640" s="637"/>
      <c r="H3640" s="637"/>
      <c r="I3640" s="637"/>
      <c r="J3640" s="637"/>
    </row>
    <row r="3641" spans="1:10" x14ac:dyDescent="0.2">
      <c r="A3641" s="626"/>
      <c r="B3641" s="637"/>
      <c r="C3641" s="637"/>
      <c r="D3641" s="637"/>
      <c r="E3641" s="637"/>
      <c r="F3641" s="637"/>
      <c r="G3641" s="637"/>
      <c r="H3641" s="637"/>
      <c r="I3641" s="637"/>
      <c r="J3641" s="637"/>
    </row>
    <row r="3642" spans="1:10" x14ac:dyDescent="0.2">
      <c r="A3642" s="626"/>
      <c r="B3642" s="637"/>
      <c r="C3642" s="637"/>
      <c r="D3642" s="637"/>
      <c r="E3642" s="637"/>
      <c r="F3642" s="637"/>
      <c r="G3642" s="637"/>
      <c r="H3642" s="637"/>
      <c r="I3642" s="637"/>
      <c r="J3642" s="637"/>
    </row>
    <row r="3643" spans="1:10" x14ac:dyDescent="0.2">
      <c r="A3643" s="626"/>
      <c r="B3643" s="637"/>
      <c r="C3643" s="637"/>
      <c r="D3643" s="637"/>
      <c r="E3643" s="637"/>
      <c r="F3643" s="637"/>
      <c r="G3643" s="637"/>
      <c r="H3643" s="637"/>
      <c r="I3643" s="637"/>
      <c r="J3643" s="637"/>
    </row>
    <row r="3644" spans="1:10" x14ac:dyDescent="0.2">
      <c r="A3644" s="626"/>
      <c r="B3644" s="637"/>
      <c r="C3644" s="637"/>
      <c r="D3644" s="637"/>
      <c r="E3644" s="637"/>
      <c r="F3644" s="637"/>
      <c r="G3644" s="637"/>
      <c r="H3644" s="637"/>
      <c r="I3644" s="637"/>
      <c r="J3644" s="637"/>
    </row>
    <row r="3645" spans="1:10" x14ac:dyDescent="0.2">
      <c r="A3645" s="626"/>
      <c r="B3645" s="637"/>
      <c r="C3645" s="637"/>
      <c r="D3645" s="637"/>
      <c r="E3645" s="637"/>
      <c r="F3645" s="637"/>
      <c r="G3645" s="637"/>
      <c r="H3645" s="637"/>
      <c r="I3645" s="637"/>
      <c r="J3645" s="637"/>
    </row>
    <row r="3646" spans="1:10" x14ac:dyDescent="0.2">
      <c r="A3646" s="626"/>
      <c r="B3646" s="637"/>
      <c r="C3646" s="637"/>
      <c r="D3646" s="637"/>
      <c r="E3646" s="637"/>
      <c r="F3646" s="637"/>
      <c r="G3646" s="637"/>
      <c r="H3646" s="637"/>
      <c r="I3646" s="637"/>
      <c r="J3646" s="637"/>
    </row>
    <row r="3647" spans="1:10" x14ac:dyDescent="0.2">
      <c r="A3647" s="626"/>
      <c r="B3647" s="637"/>
      <c r="C3647" s="637"/>
      <c r="D3647" s="637"/>
      <c r="E3647" s="637"/>
      <c r="F3647" s="637"/>
      <c r="G3647" s="637"/>
      <c r="H3647" s="637"/>
      <c r="I3647" s="637"/>
      <c r="J3647" s="637"/>
    </row>
    <row r="3648" spans="1:10" x14ac:dyDescent="0.2">
      <c r="A3648" s="626"/>
      <c r="B3648" s="637"/>
      <c r="C3648" s="637"/>
      <c r="D3648" s="637"/>
      <c r="E3648" s="637"/>
      <c r="F3648" s="637"/>
      <c r="G3648" s="637"/>
      <c r="H3648" s="637"/>
      <c r="I3648" s="637"/>
      <c r="J3648" s="637"/>
    </row>
    <row r="3649" spans="1:10" x14ac:dyDescent="0.2">
      <c r="A3649" s="626"/>
      <c r="B3649" s="637"/>
      <c r="C3649" s="637"/>
      <c r="D3649" s="637"/>
      <c r="E3649" s="637"/>
      <c r="F3649" s="637"/>
      <c r="G3649" s="637"/>
      <c r="H3649" s="637"/>
      <c r="I3649" s="637"/>
      <c r="J3649" s="637"/>
    </row>
    <row r="3650" spans="1:10" x14ac:dyDescent="0.2">
      <c r="A3650" s="626"/>
      <c r="B3650" s="637"/>
      <c r="C3650" s="637"/>
      <c r="D3650" s="637"/>
      <c r="E3650" s="637"/>
      <c r="F3650" s="637"/>
      <c r="G3650" s="637"/>
      <c r="H3650" s="637"/>
      <c r="I3650" s="637"/>
      <c r="J3650" s="637"/>
    </row>
    <row r="3651" spans="1:10" x14ac:dyDescent="0.2">
      <c r="A3651" s="626"/>
      <c r="B3651" s="637"/>
      <c r="C3651" s="637"/>
      <c r="D3651" s="637"/>
      <c r="E3651" s="637"/>
      <c r="F3651" s="637"/>
      <c r="G3651" s="637"/>
      <c r="H3651" s="637"/>
      <c r="I3651" s="637"/>
      <c r="J3651" s="637"/>
    </row>
    <row r="3652" spans="1:10" x14ac:dyDescent="0.2">
      <c r="A3652" s="626"/>
      <c r="B3652" s="637"/>
      <c r="C3652" s="637"/>
      <c r="D3652" s="637"/>
      <c r="E3652" s="637"/>
      <c r="F3652" s="637"/>
      <c r="G3652" s="637"/>
      <c r="H3652" s="637"/>
      <c r="I3652" s="637"/>
      <c r="J3652" s="637"/>
    </row>
    <row r="3653" spans="1:10" x14ac:dyDescent="0.2">
      <c r="A3653" s="626"/>
      <c r="B3653" s="637"/>
      <c r="C3653" s="637"/>
      <c r="D3653" s="637"/>
      <c r="E3653" s="637"/>
      <c r="F3653" s="637"/>
      <c r="G3653" s="637"/>
      <c r="H3653" s="637"/>
      <c r="I3653" s="637"/>
      <c r="J3653" s="637"/>
    </row>
    <row r="3654" spans="1:10" x14ac:dyDescent="0.2">
      <c r="A3654" s="626"/>
      <c r="B3654" s="637"/>
      <c r="C3654" s="637"/>
      <c r="D3654" s="637"/>
      <c r="E3654" s="637"/>
      <c r="F3654" s="637"/>
      <c r="G3654" s="637"/>
      <c r="H3654" s="637"/>
      <c r="I3654" s="637"/>
      <c r="J3654" s="637"/>
    </row>
    <row r="3655" spans="1:10" x14ac:dyDescent="0.2">
      <c r="A3655" s="626"/>
      <c r="B3655" s="637"/>
      <c r="C3655" s="637"/>
      <c r="D3655" s="637"/>
      <c r="E3655" s="637"/>
      <c r="F3655" s="637"/>
      <c r="G3655" s="637"/>
      <c r="H3655" s="637"/>
      <c r="I3655" s="637"/>
      <c r="J3655" s="637"/>
    </row>
    <row r="3656" spans="1:10" x14ac:dyDescent="0.2">
      <c r="A3656" s="626"/>
      <c r="B3656" s="637"/>
      <c r="C3656" s="637"/>
      <c r="D3656" s="637"/>
      <c r="E3656" s="637"/>
      <c r="F3656" s="637"/>
      <c r="G3656" s="637"/>
      <c r="H3656" s="637"/>
      <c r="I3656" s="637"/>
      <c r="J3656" s="637"/>
    </row>
    <row r="3657" spans="1:10" x14ac:dyDescent="0.2">
      <c r="A3657" s="626"/>
      <c r="B3657" s="637"/>
      <c r="C3657" s="637"/>
      <c r="D3657" s="637"/>
      <c r="E3657" s="637"/>
      <c r="F3657" s="637"/>
      <c r="G3657" s="637"/>
      <c r="H3657" s="637"/>
      <c r="I3657" s="637"/>
      <c r="J3657" s="637"/>
    </row>
    <row r="3658" spans="1:10" x14ac:dyDescent="0.2">
      <c r="A3658" s="626"/>
      <c r="B3658" s="637"/>
      <c r="C3658" s="637"/>
      <c r="D3658" s="637"/>
      <c r="E3658" s="637"/>
      <c r="F3658" s="637"/>
      <c r="G3658" s="637"/>
      <c r="H3658" s="637"/>
      <c r="I3658" s="637"/>
      <c r="J3658" s="637"/>
    </row>
    <row r="3659" spans="1:10" x14ac:dyDescent="0.2">
      <c r="A3659" s="626"/>
      <c r="B3659" s="637"/>
      <c r="C3659" s="637"/>
      <c r="D3659" s="637"/>
      <c r="E3659" s="637"/>
      <c r="F3659" s="637"/>
      <c r="G3659" s="637"/>
      <c r="H3659" s="637"/>
      <c r="I3659" s="637"/>
      <c r="J3659" s="637"/>
    </row>
    <row r="3660" spans="1:10" x14ac:dyDescent="0.2">
      <c r="A3660" s="626"/>
      <c r="B3660" s="637"/>
      <c r="C3660" s="637"/>
      <c r="D3660" s="637"/>
      <c r="E3660" s="637"/>
      <c r="F3660" s="637"/>
      <c r="G3660" s="637"/>
      <c r="H3660" s="637"/>
      <c r="I3660" s="637"/>
      <c r="J3660" s="637"/>
    </row>
    <row r="3661" spans="1:10" x14ac:dyDescent="0.2">
      <c r="A3661" s="626"/>
      <c r="B3661" s="637"/>
      <c r="C3661" s="637"/>
      <c r="D3661" s="637"/>
      <c r="E3661" s="637"/>
      <c r="F3661" s="637"/>
      <c r="G3661" s="637"/>
      <c r="H3661" s="637"/>
      <c r="I3661" s="637"/>
      <c r="J3661" s="637"/>
    </row>
    <row r="3662" spans="1:10" x14ac:dyDescent="0.2">
      <c r="A3662" s="626"/>
      <c r="B3662" s="637"/>
      <c r="C3662" s="637"/>
      <c r="D3662" s="637"/>
      <c r="E3662" s="637"/>
      <c r="F3662" s="637"/>
      <c r="G3662" s="637"/>
      <c r="H3662" s="637"/>
      <c r="I3662" s="637"/>
      <c r="J3662" s="637"/>
    </row>
    <row r="3663" spans="1:10" x14ac:dyDescent="0.2">
      <c r="A3663" s="626"/>
      <c r="B3663" s="637"/>
      <c r="C3663" s="637"/>
      <c r="D3663" s="637"/>
      <c r="E3663" s="637"/>
      <c r="F3663" s="637"/>
      <c r="G3663" s="637"/>
      <c r="H3663" s="637"/>
      <c r="I3663" s="637"/>
      <c r="J3663" s="637"/>
    </row>
    <row r="3664" spans="1:10" x14ac:dyDescent="0.2">
      <c r="A3664" s="626"/>
      <c r="B3664" s="637"/>
      <c r="C3664" s="637"/>
      <c r="D3664" s="637"/>
      <c r="E3664" s="637"/>
      <c r="F3664" s="637"/>
      <c r="G3664" s="637"/>
      <c r="H3664" s="637"/>
      <c r="I3664" s="637"/>
      <c r="J3664" s="637"/>
    </row>
    <row r="3665" spans="1:10" x14ac:dyDescent="0.2">
      <c r="A3665" s="626"/>
      <c r="B3665" s="637"/>
      <c r="C3665" s="637"/>
      <c r="D3665" s="637"/>
      <c r="E3665" s="637"/>
      <c r="F3665" s="637"/>
      <c r="G3665" s="637"/>
      <c r="H3665" s="637"/>
      <c r="I3665" s="637"/>
      <c r="J3665" s="637"/>
    </row>
    <row r="3666" spans="1:10" x14ac:dyDescent="0.2">
      <c r="A3666" s="626"/>
      <c r="B3666" s="637"/>
      <c r="C3666" s="637"/>
      <c r="D3666" s="637"/>
      <c r="E3666" s="637"/>
      <c r="F3666" s="637"/>
      <c r="G3666" s="637"/>
      <c r="H3666" s="637"/>
      <c r="I3666" s="637"/>
      <c r="J3666" s="637"/>
    </row>
    <row r="3667" spans="1:10" x14ac:dyDescent="0.2">
      <c r="A3667" s="626"/>
      <c r="B3667" s="637"/>
      <c r="C3667" s="637"/>
      <c r="D3667" s="637"/>
      <c r="E3667" s="637"/>
      <c r="F3667" s="637"/>
      <c r="G3667" s="637"/>
      <c r="H3667" s="637"/>
      <c r="I3667" s="637"/>
      <c r="J3667" s="637"/>
    </row>
    <row r="3668" spans="1:10" x14ac:dyDescent="0.2">
      <c r="A3668" s="626"/>
      <c r="B3668" s="637"/>
      <c r="C3668" s="637"/>
      <c r="D3668" s="637"/>
      <c r="E3668" s="637"/>
      <c r="F3668" s="637"/>
      <c r="G3668" s="637"/>
      <c r="H3668" s="637"/>
      <c r="I3668" s="637"/>
      <c r="J3668" s="637"/>
    </row>
    <row r="3669" spans="1:10" x14ac:dyDescent="0.2">
      <c r="A3669" s="626"/>
      <c r="B3669" s="637"/>
      <c r="C3669" s="637"/>
      <c r="D3669" s="637"/>
      <c r="E3669" s="637"/>
      <c r="F3669" s="637"/>
      <c r="G3669" s="637"/>
      <c r="H3669" s="637"/>
      <c r="I3669" s="637"/>
      <c r="J3669" s="637"/>
    </row>
    <row r="3670" spans="1:10" x14ac:dyDescent="0.2">
      <c r="A3670" s="626"/>
      <c r="B3670" s="637"/>
      <c r="C3670" s="637"/>
      <c r="D3670" s="637"/>
      <c r="E3670" s="637"/>
      <c r="F3670" s="637"/>
      <c r="G3670" s="637"/>
      <c r="H3670" s="637"/>
      <c r="I3670" s="637"/>
      <c r="J3670" s="637"/>
    </row>
    <row r="3671" spans="1:10" x14ac:dyDescent="0.2">
      <c r="A3671" s="626"/>
      <c r="B3671" s="637"/>
      <c r="C3671" s="637"/>
      <c r="D3671" s="637"/>
      <c r="E3671" s="637"/>
      <c r="F3671" s="637"/>
      <c r="G3671" s="637"/>
      <c r="H3671" s="637"/>
      <c r="I3671" s="637"/>
      <c r="J3671" s="637"/>
    </row>
    <row r="3672" spans="1:10" x14ac:dyDescent="0.2">
      <c r="A3672" s="626"/>
      <c r="B3672" s="637"/>
      <c r="C3672" s="637"/>
      <c r="D3672" s="637"/>
      <c r="E3672" s="637"/>
      <c r="F3672" s="637"/>
      <c r="G3672" s="637"/>
      <c r="H3672" s="637"/>
      <c r="I3672" s="637"/>
      <c r="J3672" s="637"/>
    </row>
    <row r="3673" spans="1:10" x14ac:dyDescent="0.2">
      <c r="A3673" s="626"/>
      <c r="B3673" s="637"/>
      <c r="C3673" s="637"/>
      <c r="D3673" s="637"/>
      <c r="E3673" s="637"/>
      <c r="F3673" s="637"/>
      <c r="G3673" s="637"/>
      <c r="H3673" s="637"/>
      <c r="I3673" s="637"/>
      <c r="J3673" s="637"/>
    </row>
    <row r="3674" spans="1:10" x14ac:dyDescent="0.2">
      <c r="A3674" s="626"/>
      <c r="B3674" s="637"/>
      <c r="C3674" s="637"/>
      <c r="D3674" s="637"/>
      <c r="E3674" s="637"/>
      <c r="F3674" s="637"/>
      <c r="G3674" s="637"/>
      <c r="H3674" s="637"/>
      <c r="I3674" s="637"/>
      <c r="J3674" s="637"/>
    </row>
    <row r="3675" spans="1:10" x14ac:dyDescent="0.2">
      <c r="A3675" s="626"/>
      <c r="B3675" s="637"/>
      <c r="C3675" s="637"/>
      <c r="D3675" s="637"/>
      <c r="E3675" s="637"/>
      <c r="F3675" s="637"/>
      <c r="G3675" s="637"/>
      <c r="H3675" s="637"/>
      <c r="I3675" s="637"/>
      <c r="J3675" s="637"/>
    </row>
    <row r="3676" spans="1:10" x14ac:dyDescent="0.2">
      <c r="A3676" s="626"/>
      <c r="B3676" s="637"/>
      <c r="C3676" s="637"/>
      <c r="D3676" s="637"/>
      <c r="E3676" s="637"/>
      <c r="F3676" s="637"/>
      <c r="G3676" s="637"/>
      <c r="H3676" s="637"/>
      <c r="I3676" s="637"/>
      <c r="J3676" s="637"/>
    </row>
    <row r="3677" spans="1:10" x14ac:dyDescent="0.2">
      <c r="A3677" s="626"/>
      <c r="B3677" s="637"/>
      <c r="C3677" s="637"/>
      <c r="D3677" s="637"/>
      <c r="E3677" s="637"/>
      <c r="F3677" s="637"/>
      <c r="G3677" s="637"/>
      <c r="H3677" s="637"/>
      <c r="I3677" s="637"/>
      <c r="J3677" s="637"/>
    </row>
    <row r="3678" spans="1:10" x14ac:dyDescent="0.2">
      <c r="A3678" s="626"/>
      <c r="B3678" s="637"/>
      <c r="C3678" s="637"/>
      <c r="D3678" s="637"/>
      <c r="E3678" s="637"/>
      <c r="F3678" s="637"/>
      <c r="G3678" s="637"/>
      <c r="H3678" s="637"/>
      <c r="I3678" s="637"/>
      <c r="J3678" s="637"/>
    </row>
    <row r="3679" spans="1:10" x14ac:dyDescent="0.2">
      <c r="A3679" s="626"/>
      <c r="B3679" s="637"/>
      <c r="C3679" s="637"/>
      <c r="D3679" s="637"/>
      <c r="E3679" s="637"/>
      <c r="F3679" s="637"/>
      <c r="G3679" s="637"/>
      <c r="H3679" s="637"/>
      <c r="I3679" s="637"/>
      <c r="J3679" s="637"/>
    </row>
    <row r="3680" spans="1:10" x14ac:dyDescent="0.2">
      <c r="A3680" s="626"/>
      <c r="B3680" s="637"/>
      <c r="C3680" s="637"/>
      <c r="D3680" s="637"/>
      <c r="E3680" s="637"/>
      <c r="F3680" s="637"/>
      <c r="G3680" s="637"/>
      <c r="H3680" s="637"/>
      <c r="I3680" s="637"/>
      <c r="J3680" s="637"/>
    </row>
    <row r="3681" spans="1:10" x14ac:dyDescent="0.2">
      <c r="A3681" s="626"/>
      <c r="B3681" s="637"/>
      <c r="C3681" s="637"/>
      <c r="D3681" s="637"/>
      <c r="E3681" s="637"/>
      <c r="F3681" s="637"/>
      <c r="G3681" s="637"/>
      <c r="H3681" s="637"/>
      <c r="I3681" s="637"/>
      <c r="J3681" s="637"/>
    </row>
    <row r="3682" spans="1:10" x14ac:dyDescent="0.2">
      <c r="A3682" s="626"/>
      <c r="B3682" s="637"/>
      <c r="C3682" s="637"/>
      <c r="D3682" s="637"/>
      <c r="E3682" s="637"/>
      <c r="F3682" s="637"/>
      <c r="G3682" s="637"/>
      <c r="H3682" s="637"/>
      <c r="I3682" s="637"/>
      <c r="J3682" s="637"/>
    </row>
    <row r="3683" spans="1:10" x14ac:dyDescent="0.2">
      <c r="A3683" s="626"/>
      <c r="B3683" s="637"/>
      <c r="C3683" s="637"/>
      <c r="D3683" s="637"/>
      <c r="E3683" s="637"/>
      <c r="F3683" s="637"/>
      <c r="G3683" s="637"/>
      <c r="H3683" s="637"/>
      <c r="I3683" s="637"/>
      <c r="J3683" s="637"/>
    </row>
    <row r="3684" spans="1:10" x14ac:dyDescent="0.2">
      <c r="A3684" s="626"/>
      <c r="B3684" s="637"/>
      <c r="C3684" s="637"/>
      <c r="D3684" s="637"/>
      <c r="E3684" s="637"/>
      <c r="F3684" s="637"/>
      <c r="G3684" s="637"/>
      <c r="H3684" s="637"/>
      <c r="I3684" s="637"/>
      <c r="J3684" s="637"/>
    </row>
    <row r="3685" spans="1:10" x14ac:dyDescent="0.2">
      <c r="A3685" s="626"/>
      <c r="B3685" s="637"/>
      <c r="C3685" s="637"/>
      <c r="D3685" s="637"/>
      <c r="E3685" s="637"/>
      <c r="F3685" s="637"/>
      <c r="G3685" s="637"/>
      <c r="H3685" s="637"/>
      <c r="I3685" s="637"/>
      <c r="J3685" s="637"/>
    </row>
    <row r="3686" spans="1:10" x14ac:dyDescent="0.2">
      <c r="A3686" s="626"/>
      <c r="B3686" s="637"/>
      <c r="C3686" s="637"/>
      <c r="D3686" s="637"/>
      <c r="E3686" s="637"/>
      <c r="F3686" s="637"/>
      <c r="G3686" s="637"/>
      <c r="H3686" s="637"/>
      <c r="I3686" s="637"/>
      <c r="J3686" s="637"/>
    </row>
    <row r="3687" spans="1:10" x14ac:dyDescent="0.2">
      <c r="A3687" s="626"/>
      <c r="B3687" s="637"/>
      <c r="C3687" s="637"/>
      <c r="D3687" s="637"/>
      <c r="E3687" s="637"/>
      <c r="F3687" s="637"/>
      <c r="G3687" s="637"/>
      <c r="H3687" s="637"/>
      <c r="I3687" s="637"/>
      <c r="J3687" s="637"/>
    </row>
    <row r="3688" spans="1:10" x14ac:dyDescent="0.2">
      <c r="A3688" s="626"/>
      <c r="B3688" s="637"/>
      <c r="C3688" s="637"/>
      <c r="D3688" s="637"/>
      <c r="E3688" s="637"/>
      <c r="F3688" s="637"/>
      <c r="G3688" s="637"/>
      <c r="H3688" s="637"/>
      <c r="I3688" s="637"/>
      <c r="J3688" s="637"/>
    </row>
    <row r="3689" spans="1:10" x14ac:dyDescent="0.2">
      <c r="A3689" s="626"/>
      <c r="B3689" s="637"/>
      <c r="C3689" s="637"/>
      <c r="D3689" s="637"/>
      <c r="E3689" s="637"/>
      <c r="F3689" s="637"/>
      <c r="G3689" s="637"/>
      <c r="H3689" s="637"/>
      <c r="I3689" s="637"/>
      <c r="J3689" s="637"/>
    </row>
    <row r="3690" spans="1:10" x14ac:dyDescent="0.2">
      <c r="A3690" s="626"/>
      <c r="B3690" s="637"/>
      <c r="C3690" s="637"/>
      <c r="D3690" s="637"/>
      <c r="E3690" s="637"/>
      <c r="F3690" s="637"/>
      <c r="G3690" s="637"/>
      <c r="H3690" s="637"/>
      <c r="I3690" s="637"/>
      <c r="J3690" s="637"/>
    </row>
    <row r="3691" spans="1:10" x14ac:dyDescent="0.2">
      <c r="A3691" s="626"/>
      <c r="B3691" s="637"/>
      <c r="C3691" s="637"/>
      <c r="D3691" s="637"/>
      <c r="E3691" s="637"/>
      <c r="F3691" s="637"/>
      <c r="G3691" s="637"/>
      <c r="H3691" s="637"/>
      <c r="I3691" s="637"/>
      <c r="J3691" s="637"/>
    </row>
    <row r="3692" spans="1:10" x14ac:dyDescent="0.2">
      <c r="A3692" s="626"/>
      <c r="B3692" s="637"/>
      <c r="C3692" s="637"/>
      <c r="D3692" s="637"/>
      <c r="E3692" s="637"/>
      <c r="F3692" s="637"/>
      <c r="G3692" s="637"/>
      <c r="H3692" s="637"/>
      <c r="I3692" s="637"/>
      <c r="J3692" s="637"/>
    </row>
    <row r="3693" spans="1:10" x14ac:dyDescent="0.2">
      <c r="A3693" s="626"/>
      <c r="B3693" s="637"/>
      <c r="C3693" s="637"/>
      <c r="D3693" s="637"/>
      <c r="E3693" s="637"/>
      <c r="F3693" s="637"/>
      <c r="G3693" s="637"/>
      <c r="H3693" s="637"/>
      <c r="I3693" s="637"/>
      <c r="J3693" s="637"/>
    </row>
    <row r="3694" spans="1:10" x14ac:dyDescent="0.2">
      <c r="A3694" s="626"/>
      <c r="B3694" s="637"/>
      <c r="C3694" s="637"/>
      <c r="D3694" s="637"/>
      <c r="E3694" s="637"/>
      <c r="F3694" s="637"/>
      <c r="G3694" s="637"/>
      <c r="H3694" s="637"/>
      <c r="I3694" s="637"/>
      <c r="J3694" s="637"/>
    </row>
    <row r="3695" spans="1:10" x14ac:dyDescent="0.2">
      <c r="A3695" s="626"/>
      <c r="B3695" s="637"/>
      <c r="C3695" s="637"/>
      <c r="D3695" s="637"/>
      <c r="E3695" s="637"/>
      <c r="F3695" s="637"/>
      <c r="G3695" s="637"/>
      <c r="H3695" s="637"/>
      <c r="I3695" s="637"/>
      <c r="J3695" s="637"/>
    </row>
    <row r="3696" spans="1:10" x14ac:dyDescent="0.2">
      <c r="A3696" s="626"/>
      <c r="B3696" s="637"/>
      <c r="C3696" s="637"/>
      <c r="D3696" s="637"/>
      <c r="E3696" s="637"/>
      <c r="F3696" s="637"/>
      <c r="G3696" s="637"/>
      <c r="H3696" s="637"/>
      <c r="I3696" s="637"/>
      <c r="J3696" s="637"/>
    </row>
    <row r="3697" spans="1:10" x14ac:dyDescent="0.2">
      <c r="A3697" s="626"/>
      <c r="B3697" s="637"/>
      <c r="C3697" s="637"/>
      <c r="D3697" s="637"/>
      <c r="E3697" s="637"/>
      <c r="F3697" s="637"/>
      <c r="G3697" s="637"/>
      <c r="H3697" s="637"/>
      <c r="I3697" s="637"/>
      <c r="J3697" s="637"/>
    </row>
    <row r="3698" spans="1:10" x14ac:dyDescent="0.2">
      <c r="A3698" s="626"/>
      <c r="B3698" s="637"/>
      <c r="C3698" s="637"/>
      <c r="D3698" s="637"/>
      <c r="E3698" s="637"/>
      <c r="F3698" s="637"/>
      <c r="G3698" s="637"/>
      <c r="H3698" s="637"/>
      <c r="I3698" s="637"/>
      <c r="J3698" s="637"/>
    </row>
    <row r="3699" spans="1:10" x14ac:dyDescent="0.2">
      <c r="A3699" s="626"/>
      <c r="B3699" s="637"/>
      <c r="C3699" s="637"/>
      <c r="D3699" s="637"/>
      <c r="E3699" s="637"/>
      <c r="F3699" s="637"/>
      <c r="G3699" s="637"/>
      <c r="H3699" s="637"/>
      <c r="I3699" s="637"/>
      <c r="J3699" s="637"/>
    </row>
    <row r="3700" spans="1:10" x14ac:dyDescent="0.2">
      <c r="A3700" s="626"/>
      <c r="B3700" s="637"/>
      <c r="C3700" s="637"/>
      <c r="D3700" s="637"/>
      <c r="E3700" s="637"/>
      <c r="F3700" s="637"/>
      <c r="G3700" s="637"/>
      <c r="H3700" s="637"/>
      <c r="I3700" s="637"/>
      <c r="J3700" s="637"/>
    </row>
    <row r="3701" spans="1:10" x14ac:dyDescent="0.2">
      <c r="A3701" s="626"/>
      <c r="B3701" s="637"/>
      <c r="C3701" s="637"/>
      <c r="D3701" s="637"/>
      <c r="E3701" s="637"/>
      <c r="F3701" s="637"/>
      <c r="G3701" s="637"/>
      <c r="H3701" s="637"/>
      <c r="I3701" s="637"/>
      <c r="J3701" s="637"/>
    </row>
    <row r="3702" spans="1:10" x14ac:dyDescent="0.2">
      <c r="A3702" s="626"/>
      <c r="B3702" s="637"/>
      <c r="C3702" s="637"/>
      <c r="D3702" s="637"/>
      <c r="E3702" s="637"/>
      <c r="F3702" s="637"/>
      <c r="G3702" s="637"/>
      <c r="H3702" s="637"/>
      <c r="I3702" s="637"/>
      <c r="J3702" s="637"/>
    </row>
    <row r="3703" spans="1:10" x14ac:dyDescent="0.2">
      <c r="A3703" s="626"/>
      <c r="B3703" s="637"/>
      <c r="C3703" s="637"/>
      <c r="D3703" s="637"/>
      <c r="E3703" s="637"/>
      <c r="F3703" s="637"/>
      <c r="G3703" s="637"/>
      <c r="H3703" s="637"/>
      <c r="I3703" s="637"/>
      <c r="J3703" s="637"/>
    </row>
    <row r="3704" spans="1:10" x14ac:dyDescent="0.2">
      <c r="A3704" s="626"/>
      <c r="B3704" s="637"/>
      <c r="C3704" s="637"/>
      <c r="D3704" s="637"/>
      <c r="E3704" s="637"/>
      <c r="F3704" s="637"/>
      <c r="G3704" s="637"/>
      <c r="H3704" s="637"/>
      <c r="I3704" s="637"/>
      <c r="J3704" s="637"/>
    </row>
    <row r="3705" spans="1:10" x14ac:dyDescent="0.2">
      <c r="A3705" s="626"/>
      <c r="B3705" s="637"/>
      <c r="C3705" s="637"/>
      <c r="D3705" s="637"/>
      <c r="E3705" s="637"/>
      <c r="F3705" s="637"/>
      <c r="G3705" s="637"/>
      <c r="H3705" s="637"/>
      <c r="I3705" s="637"/>
      <c r="J3705" s="637"/>
    </row>
    <row r="3706" spans="1:10" x14ac:dyDescent="0.2">
      <c r="A3706" s="626"/>
      <c r="B3706" s="637"/>
      <c r="C3706" s="637"/>
      <c r="D3706" s="637"/>
      <c r="E3706" s="637"/>
      <c r="F3706" s="637"/>
      <c r="G3706" s="637"/>
      <c r="H3706" s="637"/>
      <c r="I3706" s="637"/>
      <c r="J3706" s="637"/>
    </row>
    <row r="3707" spans="1:10" x14ac:dyDescent="0.2">
      <c r="A3707" s="626"/>
      <c r="B3707" s="637"/>
      <c r="C3707" s="637"/>
      <c r="D3707" s="637"/>
      <c r="E3707" s="637"/>
      <c r="F3707" s="637"/>
      <c r="G3707" s="637"/>
      <c r="H3707" s="637"/>
      <c r="I3707" s="637"/>
      <c r="J3707" s="637"/>
    </row>
    <row r="3708" spans="1:10" x14ac:dyDescent="0.2">
      <c r="A3708" s="626"/>
      <c r="B3708" s="637"/>
      <c r="C3708" s="637"/>
      <c r="D3708" s="637"/>
      <c r="E3708" s="637"/>
      <c r="F3708" s="637"/>
      <c r="G3708" s="637"/>
      <c r="H3708" s="637"/>
      <c r="I3708" s="637"/>
      <c r="J3708" s="637"/>
    </row>
    <row r="3709" spans="1:10" x14ac:dyDescent="0.2">
      <c r="A3709" s="626"/>
      <c r="B3709" s="637"/>
      <c r="C3709" s="637"/>
      <c r="D3709" s="637"/>
      <c r="E3709" s="637"/>
      <c r="F3709" s="637"/>
      <c r="G3709" s="637"/>
      <c r="H3709" s="637"/>
      <c r="I3709" s="637"/>
      <c r="J3709" s="637"/>
    </row>
    <row r="3710" spans="1:10" x14ac:dyDescent="0.2">
      <c r="A3710" s="626"/>
      <c r="B3710" s="637"/>
      <c r="C3710" s="637"/>
      <c r="D3710" s="637"/>
      <c r="E3710" s="637"/>
      <c r="F3710" s="637"/>
      <c r="G3710" s="637"/>
      <c r="H3710" s="637"/>
      <c r="I3710" s="637"/>
      <c r="J3710" s="637"/>
    </row>
    <row r="3711" spans="1:10" x14ac:dyDescent="0.2">
      <c r="A3711" s="626"/>
      <c r="B3711" s="637"/>
      <c r="C3711" s="637"/>
      <c r="D3711" s="637"/>
      <c r="E3711" s="637"/>
      <c r="F3711" s="637"/>
      <c r="G3711" s="637"/>
      <c r="H3711" s="637"/>
      <c r="I3711" s="637"/>
      <c r="J3711" s="637"/>
    </row>
    <row r="3712" spans="1:10" x14ac:dyDescent="0.2">
      <c r="A3712" s="626"/>
      <c r="B3712" s="637"/>
      <c r="C3712" s="637"/>
      <c r="D3712" s="637"/>
      <c r="E3712" s="637"/>
      <c r="F3712" s="637"/>
      <c r="G3712" s="637"/>
      <c r="H3712" s="637"/>
      <c r="I3712" s="637"/>
      <c r="J3712" s="637"/>
    </row>
    <row r="3713" spans="1:10" x14ac:dyDescent="0.2">
      <c r="A3713" s="626"/>
      <c r="B3713" s="637"/>
      <c r="C3713" s="637"/>
      <c r="D3713" s="637"/>
      <c r="E3713" s="637"/>
      <c r="F3713" s="637"/>
      <c r="G3713" s="637"/>
      <c r="H3713" s="637"/>
      <c r="I3713" s="637"/>
      <c r="J3713" s="637"/>
    </row>
    <row r="3714" spans="1:10" x14ac:dyDescent="0.2">
      <c r="A3714" s="626"/>
      <c r="B3714" s="637"/>
      <c r="C3714" s="637"/>
      <c r="D3714" s="637"/>
      <c r="E3714" s="637"/>
      <c r="F3714" s="637"/>
      <c r="G3714" s="637"/>
      <c r="H3714" s="637"/>
      <c r="I3714" s="637"/>
      <c r="J3714" s="637"/>
    </row>
    <row r="3715" spans="1:10" x14ac:dyDescent="0.2">
      <c r="A3715" s="626"/>
      <c r="B3715" s="637"/>
      <c r="C3715" s="637"/>
      <c r="D3715" s="637"/>
      <c r="E3715" s="637"/>
      <c r="F3715" s="637"/>
      <c r="G3715" s="637"/>
      <c r="H3715" s="637"/>
      <c r="I3715" s="637"/>
      <c r="J3715" s="637"/>
    </row>
    <row r="3716" spans="1:10" x14ac:dyDescent="0.2">
      <c r="A3716" s="626"/>
      <c r="B3716" s="637"/>
      <c r="C3716" s="637"/>
      <c r="D3716" s="637"/>
      <c r="E3716" s="637"/>
      <c r="F3716" s="637"/>
      <c r="G3716" s="637"/>
      <c r="H3716" s="637"/>
      <c r="I3716" s="637"/>
      <c r="J3716" s="637"/>
    </row>
    <row r="3717" spans="1:10" x14ac:dyDescent="0.2">
      <c r="A3717" s="626"/>
      <c r="B3717" s="637"/>
      <c r="C3717" s="637"/>
      <c r="D3717" s="637"/>
      <c r="E3717" s="637"/>
      <c r="F3717" s="637"/>
      <c r="G3717" s="637"/>
      <c r="H3717" s="637"/>
      <c r="I3717" s="637"/>
      <c r="J3717" s="637"/>
    </row>
    <row r="3718" spans="1:10" x14ac:dyDescent="0.2">
      <c r="A3718" s="626"/>
      <c r="B3718" s="637"/>
      <c r="C3718" s="637"/>
      <c r="D3718" s="637"/>
      <c r="E3718" s="637"/>
      <c r="F3718" s="637"/>
      <c r="G3718" s="637"/>
      <c r="H3718" s="637"/>
      <c r="I3718" s="637"/>
      <c r="J3718" s="637"/>
    </row>
    <row r="3719" spans="1:10" x14ac:dyDescent="0.2">
      <c r="A3719" s="626"/>
      <c r="B3719" s="637"/>
      <c r="C3719" s="637"/>
      <c r="D3719" s="637"/>
      <c r="E3719" s="637"/>
      <c r="F3719" s="637"/>
      <c r="G3719" s="637"/>
      <c r="H3719" s="637"/>
      <c r="I3719" s="637"/>
      <c r="J3719" s="637"/>
    </row>
    <row r="3720" spans="1:10" x14ac:dyDescent="0.2">
      <c r="A3720" s="626"/>
      <c r="B3720" s="637"/>
      <c r="C3720" s="637"/>
      <c r="D3720" s="637"/>
      <c r="E3720" s="637"/>
      <c r="F3720" s="637"/>
      <c r="G3720" s="637"/>
      <c r="H3720" s="637"/>
      <c r="I3720" s="637"/>
      <c r="J3720" s="637"/>
    </row>
    <row r="3721" spans="1:10" x14ac:dyDescent="0.2">
      <c r="A3721" s="626"/>
      <c r="B3721" s="637"/>
      <c r="C3721" s="637"/>
      <c r="D3721" s="637"/>
      <c r="E3721" s="637"/>
      <c r="F3721" s="637"/>
      <c r="G3721" s="637"/>
      <c r="H3721" s="637"/>
      <c r="I3721" s="637"/>
      <c r="J3721" s="637"/>
    </row>
    <row r="3722" spans="1:10" x14ac:dyDescent="0.2">
      <c r="A3722" s="626"/>
      <c r="B3722" s="637"/>
      <c r="C3722" s="637"/>
      <c r="D3722" s="637"/>
      <c r="E3722" s="637"/>
      <c r="F3722" s="637"/>
      <c r="G3722" s="637"/>
      <c r="H3722" s="637"/>
      <c r="I3722" s="637"/>
      <c r="J3722" s="637"/>
    </row>
    <row r="3723" spans="1:10" x14ac:dyDescent="0.2">
      <c r="A3723" s="626"/>
      <c r="B3723" s="637"/>
      <c r="C3723" s="637"/>
      <c r="D3723" s="637"/>
      <c r="E3723" s="637"/>
      <c r="F3723" s="637"/>
      <c r="G3723" s="637"/>
      <c r="H3723" s="637"/>
      <c r="I3723" s="637"/>
      <c r="J3723" s="637"/>
    </row>
    <row r="3724" spans="1:10" x14ac:dyDescent="0.2">
      <c r="A3724" s="626"/>
      <c r="B3724" s="637"/>
      <c r="C3724" s="637"/>
      <c r="D3724" s="637"/>
      <c r="E3724" s="637"/>
      <c r="F3724" s="637"/>
      <c r="G3724" s="637"/>
      <c r="H3724" s="637"/>
      <c r="I3724" s="637"/>
      <c r="J3724" s="637"/>
    </row>
    <row r="3725" spans="1:10" x14ac:dyDescent="0.2">
      <c r="A3725" s="626"/>
      <c r="B3725" s="637"/>
      <c r="C3725" s="637"/>
      <c r="D3725" s="637"/>
      <c r="E3725" s="637"/>
      <c r="F3725" s="637"/>
      <c r="G3725" s="637"/>
      <c r="H3725" s="637"/>
      <c r="I3725" s="637"/>
      <c r="J3725" s="637"/>
    </row>
    <row r="3726" spans="1:10" x14ac:dyDescent="0.2">
      <c r="A3726" s="626"/>
      <c r="B3726" s="637"/>
      <c r="C3726" s="637"/>
      <c r="D3726" s="637"/>
      <c r="E3726" s="637"/>
      <c r="F3726" s="637"/>
      <c r="G3726" s="637"/>
      <c r="H3726" s="637"/>
      <c r="I3726" s="637"/>
      <c r="J3726" s="637"/>
    </row>
    <row r="3727" spans="1:10" x14ac:dyDescent="0.2">
      <c r="A3727" s="626"/>
      <c r="B3727" s="637"/>
      <c r="C3727" s="637"/>
      <c r="D3727" s="637"/>
      <c r="E3727" s="637"/>
      <c r="F3727" s="637"/>
      <c r="G3727" s="637"/>
      <c r="H3727" s="637"/>
      <c r="I3727" s="637"/>
      <c r="J3727" s="637"/>
    </row>
    <row r="3728" spans="1:10" x14ac:dyDescent="0.2">
      <c r="A3728" s="626"/>
      <c r="B3728" s="637"/>
      <c r="C3728" s="637"/>
      <c r="D3728" s="637"/>
      <c r="E3728" s="637"/>
      <c r="F3728" s="637"/>
      <c r="G3728" s="637"/>
      <c r="H3728" s="637"/>
      <c r="I3728" s="637"/>
      <c r="J3728" s="637"/>
    </row>
    <row r="3729" spans="1:10" x14ac:dyDescent="0.2">
      <c r="A3729" s="626"/>
      <c r="B3729" s="637"/>
      <c r="C3729" s="637"/>
      <c r="D3729" s="637"/>
      <c r="E3729" s="637"/>
      <c r="F3729" s="637"/>
      <c r="G3729" s="637"/>
      <c r="H3729" s="637"/>
      <c r="I3729" s="637"/>
      <c r="J3729" s="637"/>
    </row>
    <row r="3730" spans="1:10" x14ac:dyDescent="0.2">
      <c r="A3730" s="626"/>
      <c r="B3730" s="637"/>
      <c r="C3730" s="637"/>
      <c r="D3730" s="637"/>
      <c r="E3730" s="637"/>
      <c r="F3730" s="637"/>
      <c r="G3730" s="637"/>
      <c r="H3730" s="637"/>
      <c r="I3730" s="637"/>
      <c r="J3730" s="637"/>
    </row>
    <row r="3731" spans="1:10" x14ac:dyDescent="0.2">
      <c r="A3731" s="626"/>
      <c r="B3731" s="637"/>
      <c r="C3731" s="637"/>
      <c r="D3731" s="637"/>
      <c r="E3731" s="637"/>
      <c r="F3731" s="637"/>
      <c r="G3731" s="637"/>
      <c r="H3731" s="637"/>
      <c r="I3731" s="637"/>
      <c r="J3731" s="637"/>
    </row>
    <row r="3732" spans="1:10" x14ac:dyDescent="0.2">
      <c r="A3732" s="626"/>
      <c r="B3732" s="637"/>
      <c r="C3732" s="637"/>
      <c r="D3732" s="637"/>
      <c r="E3732" s="637"/>
      <c r="F3732" s="637"/>
      <c r="G3732" s="637"/>
      <c r="H3732" s="637"/>
      <c r="I3732" s="637"/>
      <c r="J3732" s="637"/>
    </row>
    <row r="3733" spans="1:10" x14ac:dyDescent="0.2">
      <c r="A3733" s="626"/>
      <c r="B3733" s="637"/>
      <c r="C3733" s="637"/>
      <c r="D3733" s="637"/>
      <c r="E3733" s="637"/>
      <c r="F3733" s="637"/>
      <c r="G3733" s="637"/>
      <c r="H3733" s="637"/>
      <c r="I3733" s="637"/>
      <c r="J3733" s="637"/>
    </row>
    <row r="3734" spans="1:10" x14ac:dyDescent="0.2">
      <c r="A3734" s="626"/>
      <c r="B3734" s="637"/>
      <c r="C3734" s="637"/>
      <c r="D3734" s="637"/>
      <c r="E3734" s="637"/>
      <c r="F3734" s="637"/>
      <c r="G3734" s="637"/>
      <c r="H3734" s="637"/>
      <c r="I3734" s="637"/>
      <c r="J3734" s="637"/>
    </row>
    <row r="3735" spans="1:10" x14ac:dyDescent="0.2">
      <c r="A3735" s="626"/>
      <c r="B3735" s="637"/>
      <c r="C3735" s="637"/>
      <c r="D3735" s="637"/>
      <c r="E3735" s="637"/>
      <c r="F3735" s="637"/>
      <c r="G3735" s="637"/>
      <c r="H3735" s="637"/>
      <c r="I3735" s="637"/>
      <c r="J3735" s="637"/>
    </row>
    <row r="3736" spans="1:10" x14ac:dyDescent="0.2">
      <c r="A3736" s="626"/>
      <c r="B3736" s="637"/>
      <c r="C3736" s="637"/>
      <c r="D3736" s="637"/>
      <c r="E3736" s="637"/>
      <c r="F3736" s="637"/>
      <c r="G3736" s="637"/>
      <c r="H3736" s="637"/>
      <c r="I3736" s="637"/>
      <c r="J3736" s="637"/>
    </row>
    <row r="3737" spans="1:10" x14ac:dyDescent="0.2">
      <c r="A3737" s="626"/>
      <c r="B3737" s="637"/>
      <c r="C3737" s="637"/>
      <c r="D3737" s="637"/>
      <c r="E3737" s="637"/>
      <c r="F3737" s="637"/>
      <c r="G3737" s="637"/>
      <c r="H3737" s="637"/>
      <c r="I3737" s="637"/>
      <c r="J3737" s="637"/>
    </row>
    <row r="3738" spans="1:10" x14ac:dyDescent="0.2">
      <c r="A3738" s="626"/>
      <c r="B3738" s="637"/>
      <c r="C3738" s="637"/>
      <c r="D3738" s="637"/>
      <c r="E3738" s="637"/>
      <c r="F3738" s="637"/>
      <c r="G3738" s="637"/>
      <c r="H3738" s="637"/>
      <c r="I3738" s="637"/>
      <c r="J3738" s="637"/>
    </row>
    <row r="3739" spans="1:10" x14ac:dyDescent="0.2">
      <c r="A3739" s="626"/>
      <c r="B3739" s="637"/>
      <c r="C3739" s="637"/>
      <c r="D3739" s="637"/>
      <c r="E3739" s="637"/>
      <c r="F3739" s="637"/>
      <c r="G3739" s="637"/>
      <c r="H3739" s="637"/>
      <c r="I3739" s="637"/>
      <c r="J3739" s="637"/>
    </row>
    <row r="3740" spans="1:10" x14ac:dyDescent="0.2">
      <c r="A3740" s="626"/>
      <c r="B3740" s="637"/>
      <c r="C3740" s="637"/>
      <c r="D3740" s="637"/>
      <c r="E3740" s="637"/>
      <c r="F3740" s="637"/>
      <c r="G3740" s="637"/>
      <c r="H3740" s="637"/>
      <c r="I3740" s="637"/>
      <c r="J3740" s="637"/>
    </row>
    <row r="3741" spans="1:10" x14ac:dyDescent="0.2">
      <c r="A3741" s="626"/>
      <c r="B3741" s="637"/>
      <c r="C3741" s="637"/>
      <c r="D3741" s="637"/>
      <c r="E3741" s="637"/>
      <c r="F3741" s="637"/>
      <c r="G3741" s="637"/>
      <c r="H3741" s="637"/>
      <c r="I3741" s="637"/>
      <c r="J3741" s="637"/>
    </row>
    <row r="3742" spans="1:10" x14ac:dyDescent="0.2">
      <c r="A3742" s="626"/>
      <c r="B3742" s="637"/>
      <c r="C3742" s="637"/>
      <c r="D3742" s="637"/>
      <c r="E3742" s="637"/>
      <c r="F3742" s="637"/>
      <c r="G3742" s="637"/>
      <c r="H3742" s="637"/>
      <c r="I3742" s="637"/>
      <c r="J3742" s="637"/>
    </row>
    <row r="3743" spans="1:10" x14ac:dyDescent="0.2">
      <c r="A3743" s="626"/>
      <c r="B3743" s="637"/>
      <c r="C3743" s="637"/>
      <c r="D3743" s="637"/>
      <c r="E3743" s="637"/>
      <c r="F3743" s="637"/>
      <c r="G3743" s="637"/>
      <c r="H3743" s="637"/>
      <c r="I3743" s="637"/>
      <c r="J3743" s="637"/>
    </row>
    <row r="3744" spans="1:10" x14ac:dyDescent="0.2">
      <c r="A3744" s="626"/>
      <c r="B3744" s="637"/>
      <c r="C3744" s="637"/>
      <c r="D3744" s="637"/>
      <c r="E3744" s="637"/>
      <c r="F3744" s="637"/>
      <c r="G3744" s="637"/>
      <c r="H3744" s="637"/>
      <c r="I3744" s="637"/>
      <c r="J3744" s="637"/>
    </row>
    <row r="3745" spans="1:10" x14ac:dyDescent="0.2">
      <c r="A3745" s="626"/>
      <c r="B3745" s="637"/>
      <c r="C3745" s="637"/>
      <c r="D3745" s="637"/>
      <c r="E3745" s="637"/>
      <c r="F3745" s="637"/>
      <c r="G3745" s="637"/>
      <c r="H3745" s="637"/>
      <c r="I3745" s="637"/>
      <c r="J3745" s="637"/>
    </row>
    <row r="3746" spans="1:10" x14ac:dyDescent="0.2">
      <c r="A3746" s="626"/>
      <c r="B3746" s="637"/>
      <c r="C3746" s="637"/>
      <c r="D3746" s="637"/>
      <c r="E3746" s="637"/>
      <c r="F3746" s="637"/>
      <c r="G3746" s="637"/>
      <c r="H3746" s="637"/>
      <c r="I3746" s="637"/>
      <c r="J3746" s="637"/>
    </row>
    <row r="3747" spans="1:10" x14ac:dyDescent="0.2">
      <c r="A3747" s="626"/>
      <c r="B3747" s="637"/>
      <c r="C3747" s="637"/>
      <c r="D3747" s="637"/>
      <c r="E3747" s="637"/>
      <c r="F3747" s="637"/>
      <c r="G3747" s="637"/>
      <c r="H3747" s="637"/>
      <c r="I3747" s="637"/>
      <c r="J3747" s="637"/>
    </row>
    <row r="3748" spans="1:10" x14ac:dyDescent="0.2">
      <c r="A3748" s="626"/>
      <c r="B3748" s="637"/>
      <c r="C3748" s="637"/>
      <c r="D3748" s="637"/>
      <c r="E3748" s="637"/>
      <c r="F3748" s="637"/>
      <c r="G3748" s="637"/>
      <c r="H3748" s="637"/>
      <c r="I3748" s="637"/>
      <c r="J3748" s="637"/>
    </row>
    <row r="3749" spans="1:10" x14ac:dyDescent="0.2">
      <c r="A3749" s="626"/>
      <c r="B3749" s="637"/>
      <c r="C3749" s="637"/>
      <c r="D3749" s="637"/>
      <c r="E3749" s="637"/>
      <c r="F3749" s="637"/>
      <c r="G3749" s="637"/>
      <c r="H3749" s="637"/>
      <c r="I3749" s="637"/>
      <c r="J3749" s="637"/>
    </row>
    <row r="3750" spans="1:10" x14ac:dyDescent="0.2">
      <c r="A3750" s="626"/>
      <c r="B3750" s="637"/>
      <c r="C3750" s="637"/>
      <c r="D3750" s="637"/>
      <c r="E3750" s="637"/>
      <c r="F3750" s="637"/>
      <c r="G3750" s="637"/>
      <c r="H3750" s="637"/>
      <c r="I3750" s="637"/>
      <c r="J3750" s="637"/>
    </row>
    <row r="3751" spans="1:10" x14ac:dyDescent="0.2">
      <c r="A3751" s="626"/>
      <c r="B3751" s="637"/>
      <c r="C3751" s="637"/>
      <c r="D3751" s="637"/>
      <c r="E3751" s="637"/>
      <c r="F3751" s="637"/>
      <c r="G3751" s="637"/>
      <c r="H3751" s="637"/>
      <c r="I3751" s="637"/>
      <c r="J3751" s="637"/>
    </row>
    <row r="3752" spans="1:10" x14ac:dyDescent="0.2">
      <c r="A3752" s="626"/>
      <c r="B3752" s="637"/>
      <c r="C3752" s="637"/>
      <c r="D3752" s="637"/>
      <c r="E3752" s="637"/>
      <c r="F3752" s="637"/>
      <c r="G3752" s="637"/>
      <c r="H3752" s="637"/>
      <c r="I3752" s="637"/>
      <c r="J3752" s="637"/>
    </row>
    <row r="3753" spans="1:10" x14ac:dyDescent="0.2">
      <c r="A3753" s="626"/>
      <c r="B3753" s="637"/>
      <c r="C3753" s="637"/>
      <c r="D3753" s="637"/>
      <c r="E3753" s="637"/>
      <c r="F3753" s="637"/>
      <c r="G3753" s="637"/>
      <c r="H3753" s="637"/>
      <c r="I3753" s="637"/>
      <c r="J3753" s="637"/>
    </row>
    <row r="3754" spans="1:10" x14ac:dyDescent="0.2">
      <c r="A3754" s="626"/>
      <c r="B3754" s="637"/>
      <c r="C3754" s="637"/>
      <c r="D3754" s="637"/>
      <c r="E3754" s="637"/>
      <c r="F3754" s="637"/>
      <c r="G3754" s="637"/>
      <c r="H3754" s="637"/>
      <c r="I3754" s="637"/>
      <c r="J3754" s="637"/>
    </row>
    <row r="3755" spans="1:10" x14ac:dyDescent="0.2">
      <c r="A3755" s="626"/>
      <c r="B3755" s="637"/>
      <c r="C3755" s="637"/>
      <c r="D3755" s="637"/>
      <c r="E3755" s="637"/>
      <c r="F3755" s="637"/>
      <c r="G3755" s="637"/>
      <c r="H3755" s="637"/>
      <c r="I3755" s="637"/>
      <c r="J3755" s="637"/>
    </row>
    <row r="3756" spans="1:10" x14ac:dyDescent="0.2">
      <c r="A3756" s="626"/>
      <c r="B3756" s="637"/>
      <c r="C3756" s="637"/>
      <c r="D3756" s="637"/>
      <c r="E3756" s="637"/>
      <c r="F3756" s="637"/>
      <c r="G3756" s="637"/>
      <c r="H3756" s="637"/>
      <c r="I3756" s="637"/>
      <c r="J3756" s="637"/>
    </row>
    <row r="3757" spans="1:10" x14ac:dyDescent="0.2">
      <c r="A3757" s="626"/>
      <c r="B3757" s="637"/>
      <c r="C3757" s="637"/>
      <c r="D3757" s="637"/>
      <c r="E3757" s="637"/>
      <c r="F3757" s="637"/>
      <c r="G3757" s="637"/>
      <c r="H3757" s="637"/>
      <c r="I3757" s="637"/>
      <c r="J3757" s="637"/>
    </row>
    <row r="3758" spans="1:10" x14ac:dyDescent="0.2">
      <c r="A3758" s="626"/>
      <c r="B3758" s="637"/>
      <c r="C3758" s="637"/>
      <c r="D3758" s="637"/>
      <c r="E3758" s="637"/>
      <c r="F3758" s="637"/>
      <c r="G3758" s="637"/>
      <c r="H3758" s="637"/>
      <c r="I3758" s="637"/>
      <c r="J3758" s="637"/>
    </row>
    <row r="3759" spans="1:10" x14ac:dyDescent="0.2">
      <c r="A3759" s="626"/>
      <c r="B3759" s="637"/>
      <c r="C3759" s="637"/>
      <c r="D3759" s="637"/>
      <c r="E3759" s="637"/>
      <c r="F3759" s="637"/>
      <c r="G3759" s="637"/>
      <c r="H3759" s="637"/>
      <c r="I3759" s="637"/>
      <c r="J3759" s="637"/>
    </row>
    <row r="3760" spans="1:10" x14ac:dyDescent="0.2">
      <c r="A3760" s="626"/>
      <c r="B3760" s="637"/>
      <c r="C3760" s="637"/>
      <c r="D3760" s="637"/>
      <c r="E3760" s="637"/>
      <c r="F3760" s="637"/>
      <c r="G3760" s="637"/>
      <c r="H3760" s="637"/>
      <c r="I3760" s="637"/>
      <c r="J3760" s="637"/>
    </row>
    <row r="3761" spans="1:10" x14ac:dyDescent="0.2">
      <c r="A3761" s="626"/>
      <c r="B3761" s="637"/>
      <c r="C3761" s="637"/>
      <c r="D3761" s="637"/>
      <c r="E3761" s="637"/>
      <c r="F3761" s="637"/>
      <c r="G3761" s="637"/>
      <c r="H3761" s="637"/>
      <c r="I3761" s="637"/>
      <c r="J3761" s="637"/>
    </row>
    <row r="3762" spans="1:10" x14ac:dyDescent="0.2">
      <c r="A3762" s="626"/>
      <c r="B3762" s="637"/>
      <c r="C3762" s="637"/>
      <c r="D3762" s="637"/>
      <c r="E3762" s="637"/>
      <c r="F3762" s="637"/>
      <c r="G3762" s="637"/>
      <c r="H3762" s="637"/>
      <c r="I3762" s="637"/>
      <c r="J3762" s="637"/>
    </row>
    <row r="3763" spans="1:10" x14ac:dyDescent="0.2">
      <c r="A3763" s="626"/>
      <c r="B3763" s="637"/>
      <c r="C3763" s="637"/>
      <c r="D3763" s="637"/>
      <c r="E3763" s="637"/>
      <c r="F3763" s="637"/>
      <c r="G3763" s="637"/>
      <c r="H3763" s="637"/>
      <c r="I3763" s="637"/>
      <c r="J3763" s="637"/>
    </row>
    <row r="3764" spans="1:10" x14ac:dyDescent="0.2">
      <c r="A3764" s="626"/>
      <c r="B3764" s="637"/>
      <c r="C3764" s="637"/>
      <c r="D3764" s="637"/>
      <c r="E3764" s="637"/>
      <c r="F3764" s="637"/>
      <c r="G3764" s="637"/>
      <c r="H3764" s="637"/>
      <c r="I3764" s="637"/>
      <c r="J3764" s="637"/>
    </row>
    <row r="3765" spans="1:10" x14ac:dyDescent="0.2">
      <c r="A3765" s="626"/>
      <c r="B3765" s="637"/>
      <c r="C3765" s="637"/>
      <c r="D3765" s="637"/>
      <c r="E3765" s="637"/>
      <c r="F3765" s="637"/>
      <c r="G3765" s="637"/>
      <c r="H3765" s="637"/>
      <c r="I3765" s="637"/>
      <c r="J3765" s="637"/>
    </row>
    <row r="3766" spans="1:10" x14ac:dyDescent="0.2">
      <c r="A3766" s="626"/>
      <c r="B3766" s="637"/>
      <c r="C3766" s="637"/>
      <c r="D3766" s="637"/>
      <c r="E3766" s="637"/>
      <c r="F3766" s="637"/>
      <c r="G3766" s="637"/>
      <c r="H3766" s="637"/>
      <c r="I3766" s="637"/>
      <c r="J3766" s="637"/>
    </row>
    <row r="3767" spans="1:10" x14ac:dyDescent="0.2">
      <c r="A3767" s="626"/>
      <c r="B3767" s="637"/>
      <c r="C3767" s="637"/>
      <c r="D3767" s="637"/>
      <c r="E3767" s="637"/>
      <c r="F3767" s="637"/>
      <c r="G3767" s="637"/>
      <c r="H3767" s="637"/>
      <c r="I3767" s="637"/>
      <c r="J3767" s="637"/>
    </row>
    <row r="3768" spans="1:10" x14ac:dyDescent="0.2">
      <c r="A3768" s="626"/>
      <c r="B3768" s="637"/>
      <c r="C3768" s="637"/>
      <c r="D3768" s="637"/>
      <c r="E3768" s="637"/>
      <c r="F3768" s="637"/>
      <c r="G3768" s="637"/>
      <c r="H3768" s="637"/>
      <c r="I3768" s="637"/>
      <c r="J3768" s="637"/>
    </row>
    <row r="3769" spans="1:10" x14ac:dyDescent="0.2">
      <c r="A3769" s="626"/>
      <c r="B3769" s="637"/>
      <c r="C3769" s="637"/>
      <c r="D3769" s="637"/>
      <c r="E3769" s="637"/>
      <c r="F3769" s="637"/>
      <c r="G3769" s="637"/>
      <c r="H3769" s="637"/>
      <c r="I3769" s="637"/>
      <c r="J3769" s="637"/>
    </row>
    <row r="3770" spans="1:10" x14ac:dyDescent="0.2">
      <c r="A3770" s="626"/>
      <c r="B3770" s="637"/>
      <c r="C3770" s="637"/>
      <c r="D3770" s="637"/>
      <c r="E3770" s="637"/>
      <c r="F3770" s="637"/>
      <c r="G3770" s="637"/>
      <c r="H3770" s="637"/>
      <c r="I3770" s="637"/>
      <c r="J3770" s="637"/>
    </row>
    <row r="3771" spans="1:10" x14ac:dyDescent="0.2">
      <c r="A3771" s="626"/>
      <c r="B3771" s="637"/>
      <c r="C3771" s="637"/>
      <c r="D3771" s="637"/>
      <c r="E3771" s="637"/>
      <c r="F3771" s="637"/>
      <c r="G3771" s="637"/>
      <c r="H3771" s="637"/>
      <c r="I3771" s="637"/>
      <c r="J3771" s="637"/>
    </row>
    <row r="3772" spans="1:10" x14ac:dyDescent="0.2">
      <c r="A3772" s="626"/>
      <c r="B3772" s="637"/>
      <c r="C3772" s="637"/>
      <c r="D3772" s="637"/>
      <c r="E3772" s="637"/>
      <c r="F3772" s="637"/>
      <c r="G3772" s="637"/>
      <c r="H3772" s="637"/>
      <c r="I3772" s="637"/>
      <c r="J3772" s="637"/>
    </row>
    <row r="3773" spans="1:10" x14ac:dyDescent="0.2">
      <c r="A3773" s="626"/>
      <c r="B3773" s="637"/>
      <c r="C3773" s="637"/>
      <c r="D3773" s="637"/>
      <c r="E3773" s="637"/>
      <c r="F3773" s="637"/>
      <c r="G3773" s="637"/>
      <c r="H3773" s="637"/>
      <c r="I3773" s="637"/>
      <c r="J3773" s="637"/>
    </row>
    <row r="3774" spans="1:10" x14ac:dyDescent="0.2">
      <c r="A3774" s="626"/>
      <c r="B3774" s="637"/>
      <c r="C3774" s="637"/>
      <c r="D3774" s="637"/>
      <c r="E3774" s="637"/>
      <c r="F3774" s="637"/>
      <c r="G3774" s="637"/>
      <c r="H3774" s="637"/>
      <c r="I3774" s="637"/>
      <c r="J3774" s="637"/>
    </row>
    <row r="3775" spans="1:10" x14ac:dyDescent="0.2">
      <c r="A3775" s="626"/>
      <c r="B3775" s="637"/>
      <c r="C3775" s="637"/>
      <c r="D3775" s="637"/>
      <c r="E3775" s="637"/>
      <c r="F3775" s="637"/>
      <c r="G3775" s="637"/>
      <c r="H3775" s="637"/>
      <c r="I3775" s="637"/>
      <c r="J3775" s="637"/>
    </row>
    <row r="3776" spans="1:10" x14ac:dyDescent="0.2">
      <c r="A3776" s="626"/>
      <c r="B3776" s="637"/>
      <c r="C3776" s="637"/>
      <c r="D3776" s="637"/>
      <c r="E3776" s="637"/>
      <c r="F3776" s="637"/>
      <c r="G3776" s="637"/>
      <c r="H3776" s="637"/>
      <c r="I3776" s="637"/>
      <c r="J3776" s="637"/>
    </row>
    <row r="3777" spans="1:10" x14ac:dyDescent="0.2">
      <c r="A3777" s="626"/>
      <c r="B3777" s="637"/>
      <c r="C3777" s="637"/>
      <c r="D3777" s="637"/>
      <c r="E3777" s="637"/>
      <c r="F3777" s="637"/>
      <c r="G3777" s="637"/>
      <c r="H3777" s="637"/>
      <c r="I3777" s="637"/>
      <c r="J3777" s="637"/>
    </row>
    <row r="3778" spans="1:10" x14ac:dyDescent="0.2">
      <c r="A3778" s="626"/>
      <c r="B3778" s="637"/>
      <c r="C3778" s="637"/>
      <c r="D3778" s="637"/>
      <c r="E3778" s="637"/>
      <c r="F3778" s="637"/>
      <c r="G3778" s="637"/>
      <c r="H3778" s="637"/>
      <c r="I3778" s="637"/>
      <c r="J3778" s="637"/>
    </row>
    <row r="3779" spans="1:10" x14ac:dyDescent="0.2">
      <c r="A3779" s="626"/>
      <c r="B3779" s="637"/>
      <c r="C3779" s="637"/>
      <c r="D3779" s="637"/>
      <c r="E3779" s="637"/>
      <c r="F3779" s="637"/>
      <c r="G3779" s="637"/>
      <c r="H3779" s="637"/>
      <c r="I3779" s="637"/>
      <c r="J3779" s="637"/>
    </row>
    <row r="3780" spans="1:10" x14ac:dyDescent="0.2">
      <c r="A3780" s="626"/>
      <c r="B3780" s="637"/>
      <c r="C3780" s="637"/>
      <c r="D3780" s="637"/>
      <c r="E3780" s="637"/>
      <c r="F3780" s="637"/>
      <c r="G3780" s="637"/>
      <c r="H3780" s="637"/>
      <c r="I3780" s="637"/>
      <c r="J3780" s="637"/>
    </row>
    <row r="3781" spans="1:10" x14ac:dyDescent="0.2">
      <c r="A3781" s="626"/>
      <c r="B3781" s="637"/>
      <c r="C3781" s="637"/>
      <c r="D3781" s="637"/>
      <c r="E3781" s="637"/>
      <c r="F3781" s="637"/>
      <c r="G3781" s="637"/>
      <c r="H3781" s="637"/>
      <c r="I3781" s="637"/>
      <c r="J3781" s="637"/>
    </row>
    <row r="3782" spans="1:10" x14ac:dyDescent="0.2">
      <c r="A3782" s="626"/>
      <c r="B3782" s="637"/>
      <c r="C3782" s="637"/>
      <c r="D3782" s="637"/>
      <c r="E3782" s="637"/>
      <c r="F3782" s="637"/>
      <c r="G3782" s="637"/>
      <c r="H3782" s="637"/>
      <c r="I3782" s="637"/>
      <c r="J3782" s="637"/>
    </row>
    <row r="3783" spans="1:10" x14ac:dyDescent="0.2">
      <c r="A3783" s="626"/>
      <c r="B3783" s="637"/>
      <c r="C3783" s="637"/>
      <c r="D3783" s="637"/>
      <c r="E3783" s="637"/>
      <c r="F3783" s="637"/>
      <c r="G3783" s="637"/>
      <c r="H3783" s="637"/>
      <c r="I3783" s="637"/>
      <c r="J3783" s="637"/>
    </row>
    <row r="3784" spans="1:10" x14ac:dyDescent="0.2">
      <c r="A3784" s="626"/>
      <c r="B3784" s="637"/>
      <c r="C3784" s="637"/>
      <c r="D3784" s="637"/>
      <c r="E3784" s="637"/>
      <c r="F3784" s="637"/>
      <c r="G3784" s="637"/>
      <c r="H3784" s="637"/>
      <c r="I3784" s="637"/>
      <c r="J3784" s="637"/>
    </row>
    <row r="3785" spans="1:10" x14ac:dyDescent="0.2">
      <c r="A3785" s="626"/>
      <c r="B3785" s="637"/>
      <c r="C3785" s="637"/>
      <c r="D3785" s="637"/>
      <c r="E3785" s="637"/>
      <c r="F3785" s="637"/>
      <c r="G3785" s="637"/>
      <c r="H3785" s="637"/>
      <c r="I3785" s="637"/>
      <c r="J3785" s="637"/>
    </row>
    <row r="3786" spans="1:10" x14ac:dyDescent="0.2">
      <c r="A3786" s="626"/>
      <c r="B3786" s="637"/>
      <c r="C3786" s="637"/>
      <c r="D3786" s="637"/>
      <c r="E3786" s="637"/>
      <c r="F3786" s="637"/>
      <c r="G3786" s="637"/>
      <c r="H3786" s="637"/>
      <c r="I3786" s="637"/>
      <c r="J3786" s="637"/>
    </row>
    <row r="3787" spans="1:10" x14ac:dyDescent="0.2">
      <c r="A3787" s="626"/>
      <c r="B3787" s="637"/>
      <c r="C3787" s="637"/>
      <c r="D3787" s="637"/>
      <c r="E3787" s="637"/>
      <c r="F3787" s="637"/>
      <c r="G3787" s="637"/>
      <c r="H3787" s="637"/>
      <c r="I3787" s="637"/>
      <c r="J3787" s="637"/>
    </row>
    <row r="3788" spans="1:10" x14ac:dyDescent="0.2">
      <c r="A3788" s="626"/>
      <c r="B3788" s="637"/>
      <c r="C3788" s="637"/>
      <c r="D3788" s="637"/>
      <c r="E3788" s="637"/>
      <c r="F3788" s="637"/>
      <c r="G3788" s="637"/>
      <c r="H3788" s="637"/>
      <c r="I3788" s="637"/>
      <c r="J3788" s="637"/>
    </row>
    <row r="3789" spans="1:10" x14ac:dyDescent="0.2">
      <c r="A3789" s="626"/>
      <c r="B3789" s="637"/>
      <c r="C3789" s="637"/>
      <c r="D3789" s="637"/>
      <c r="E3789" s="637"/>
      <c r="F3789" s="637"/>
      <c r="G3789" s="637"/>
      <c r="H3789" s="637"/>
      <c r="I3789" s="637"/>
      <c r="J3789" s="637"/>
    </row>
    <row r="3790" spans="1:10" x14ac:dyDescent="0.2">
      <c r="A3790" s="626"/>
      <c r="B3790" s="637"/>
      <c r="C3790" s="637"/>
      <c r="D3790" s="637"/>
      <c r="E3790" s="637"/>
      <c r="F3790" s="637"/>
      <c r="G3790" s="637"/>
      <c r="H3790" s="637"/>
      <c r="I3790" s="637"/>
      <c r="J3790" s="637"/>
    </row>
    <row r="3791" spans="1:10" x14ac:dyDescent="0.2">
      <c r="A3791" s="626"/>
      <c r="B3791" s="637"/>
      <c r="C3791" s="637"/>
      <c r="D3791" s="637"/>
      <c r="E3791" s="637"/>
      <c r="F3791" s="637"/>
      <c r="G3791" s="637"/>
      <c r="H3791" s="637"/>
      <c r="I3791" s="637"/>
      <c r="J3791" s="637"/>
    </row>
    <row r="3792" spans="1:10" x14ac:dyDescent="0.2">
      <c r="A3792" s="626"/>
      <c r="B3792" s="637"/>
      <c r="C3792" s="637"/>
      <c r="D3792" s="637"/>
      <c r="E3792" s="637"/>
      <c r="F3792" s="637"/>
      <c r="G3792" s="637"/>
      <c r="H3792" s="637"/>
      <c r="I3792" s="637"/>
      <c r="J3792" s="637"/>
    </row>
    <row r="3793" spans="1:10" x14ac:dyDescent="0.2">
      <c r="A3793" s="626"/>
      <c r="B3793" s="637"/>
      <c r="C3793" s="637"/>
      <c r="D3793" s="637"/>
      <c r="E3793" s="637"/>
      <c r="F3793" s="637"/>
      <c r="G3793" s="637"/>
      <c r="H3793" s="637"/>
      <c r="I3793" s="637"/>
      <c r="J3793" s="637"/>
    </row>
    <row r="3794" spans="1:10" x14ac:dyDescent="0.2">
      <c r="A3794" s="626"/>
      <c r="B3794" s="637"/>
      <c r="C3794" s="637"/>
      <c r="D3794" s="637"/>
      <c r="E3794" s="637"/>
      <c r="F3794" s="637"/>
      <c r="G3794" s="637"/>
      <c r="H3794" s="637"/>
      <c r="I3794" s="637"/>
      <c r="J3794" s="637"/>
    </row>
    <row r="3795" spans="1:10" x14ac:dyDescent="0.2">
      <c r="A3795" s="626"/>
      <c r="B3795" s="637"/>
      <c r="C3795" s="637"/>
      <c r="D3795" s="637"/>
      <c r="E3795" s="637"/>
      <c r="F3795" s="637"/>
      <c r="G3795" s="637"/>
      <c r="H3795" s="637"/>
      <c r="I3795" s="637"/>
      <c r="J3795" s="637"/>
    </row>
    <row r="3796" spans="1:10" x14ac:dyDescent="0.2">
      <c r="A3796" s="626"/>
      <c r="B3796" s="637"/>
      <c r="C3796" s="637"/>
      <c r="D3796" s="637"/>
      <c r="E3796" s="637"/>
      <c r="F3796" s="637"/>
      <c r="G3796" s="637"/>
      <c r="H3796" s="637"/>
      <c r="I3796" s="637"/>
      <c r="J3796" s="637"/>
    </row>
    <row r="3797" spans="1:10" x14ac:dyDescent="0.2">
      <c r="A3797" s="626"/>
      <c r="B3797" s="637"/>
      <c r="C3797" s="637"/>
      <c r="D3797" s="637"/>
      <c r="E3797" s="637"/>
      <c r="F3797" s="637"/>
      <c r="G3797" s="637"/>
      <c r="H3797" s="637"/>
      <c r="I3797" s="637"/>
      <c r="J3797" s="637"/>
    </row>
    <row r="3798" spans="1:10" x14ac:dyDescent="0.2">
      <c r="A3798" s="626"/>
      <c r="B3798" s="637"/>
      <c r="C3798" s="637"/>
      <c r="D3798" s="637"/>
      <c r="E3798" s="637"/>
      <c r="F3798" s="637"/>
      <c r="G3798" s="637"/>
      <c r="H3798" s="637"/>
      <c r="I3798" s="637"/>
      <c r="J3798" s="637"/>
    </row>
    <row r="3799" spans="1:10" x14ac:dyDescent="0.2">
      <c r="A3799" s="626"/>
      <c r="B3799" s="637"/>
      <c r="C3799" s="637"/>
      <c r="D3799" s="637"/>
      <c r="E3799" s="637"/>
      <c r="F3799" s="637"/>
      <c r="G3799" s="637"/>
      <c r="H3799" s="637"/>
      <c r="I3799" s="637"/>
      <c r="J3799" s="637"/>
    </row>
    <row r="3800" spans="1:10" x14ac:dyDescent="0.2">
      <c r="A3800" s="626"/>
      <c r="B3800" s="637"/>
      <c r="C3800" s="637"/>
      <c r="D3800" s="637"/>
      <c r="E3800" s="637"/>
      <c r="F3800" s="637"/>
      <c r="G3800" s="637"/>
      <c r="H3800" s="637"/>
      <c r="I3800" s="637"/>
      <c r="J3800" s="637"/>
    </row>
    <row r="3801" spans="1:10" x14ac:dyDescent="0.2">
      <c r="A3801" s="626"/>
      <c r="B3801" s="637"/>
      <c r="C3801" s="637"/>
      <c r="D3801" s="637"/>
      <c r="E3801" s="637"/>
      <c r="F3801" s="637"/>
      <c r="G3801" s="637"/>
      <c r="H3801" s="637"/>
      <c r="I3801" s="637"/>
      <c r="J3801" s="637"/>
    </row>
    <row r="3802" spans="1:10" x14ac:dyDescent="0.2">
      <c r="A3802" s="626"/>
      <c r="B3802" s="637"/>
      <c r="C3802" s="637"/>
      <c r="D3802" s="637"/>
      <c r="E3802" s="637"/>
      <c r="F3802" s="637"/>
      <c r="G3802" s="637"/>
      <c r="H3802" s="637"/>
      <c r="I3802" s="637"/>
      <c r="J3802" s="637"/>
    </row>
    <row r="3803" spans="1:10" x14ac:dyDescent="0.2">
      <c r="A3803" s="626"/>
      <c r="B3803" s="637"/>
      <c r="C3803" s="637"/>
      <c r="D3803" s="637"/>
      <c r="E3803" s="637"/>
      <c r="F3803" s="637"/>
      <c r="G3803" s="637"/>
      <c r="H3803" s="637"/>
      <c r="I3803" s="637"/>
      <c r="J3803" s="637"/>
    </row>
    <row r="3804" spans="1:10" x14ac:dyDescent="0.2">
      <c r="A3804" s="626"/>
      <c r="B3804" s="637"/>
      <c r="C3804" s="637"/>
      <c r="D3804" s="637"/>
      <c r="E3804" s="637"/>
      <c r="F3804" s="637"/>
      <c r="G3804" s="637"/>
      <c r="H3804" s="637"/>
      <c r="I3804" s="637"/>
      <c r="J3804" s="637"/>
    </row>
    <row r="3805" spans="1:10" x14ac:dyDescent="0.2">
      <c r="A3805" s="626"/>
      <c r="B3805" s="637"/>
      <c r="C3805" s="637"/>
      <c r="D3805" s="637"/>
      <c r="E3805" s="637"/>
      <c r="F3805" s="637"/>
      <c r="G3805" s="637"/>
      <c r="H3805" s="637"/>
      <c r="I3805" s="637"/>
      <c r="J3805" s="637"/>
    </row>
    <row r="3806" spans="1:10" x14ac:dyDescent="0.2">
      <c r="A3806" s="626"/>
      <c r="B3806" s="637"/>
      <c r="C3806" s="637"/>
      <c r="D3806" s="637"/>
      <c r="E3806" s="637"/>
      <c r="F3806" s="637"/>
      <c r="G3806" s="637"/>
      <c r="H3806" s="637"/>
      <c r="I3806" s="637"/>
      <c r="J3806" s="637"/>
    </row>
    <row r="3807" spans="1:10" x14ac:dyDescent="0.2">
      <c r="A3807" s="626"/>
      <c r="B3807" s="637"/>
      <c r="C3807" s="637"/>
      <c r="D3807" s="637"/>
      <c r="E3807" s="637"/>
      <c r="F3807" s="637"/>
      <c r="G3807" s="637"/>
      <c r="H3807" s="637"/>
      <c r="I3807" s="637"/>
      <c r="J3807" s="637"/>
    </row>
    <row r="3808" spans="1:10" x14ac:dyDescent="0.2">
      <c r="A3808" s="626"/>
      <c r="B3808" s="637"/>
      <c r="C3808" s="637"/>
      <c r="D3808" s="637"/>
      <c r="E3808" s="637"/>
      <c r="F3808" s="637"/>
      <c r="G3808" s="637"/>
      <c r="H3808" s="637"/>
      <c r="I3808" s="637"/>
      <c r="J3808" s="637"/>
    </row>
    <row r="3809" spans="1:10" x14ac:dyDescent="0.2">
      <c r="A3809" s="626"/>
      <c r="B3809" s="637"/>
      <c r="C3809" s="637"/>
      <c r="D3809" s="637"/>
      <c r="E3809" s="637"/>
      <c r="F3809" s="637"/>
      <c r="G3809" s="637"/>
      <c r="H3809" s="637"/>
      <c r="I3809" s="637"/>
      <c r="J3809" s="637"/>
    </row>
    <row r="3810" spans="1:10" x14ac:dyDescent="0.2">
      <c r="A3810" s="626"/>
      <c r="B3810" s="637"/>
      <c r="C3810" s="637"/>
      <c r="D3810" s="637"/>
      <c r="E3810" s="637"/>
      <c r="F3810" s="637"/>
      <c r="G3810" s="637"/>
      <c r="H3810" s="637"/>
      <c r="I3810" s="637"/>
      <c r="J3810" s="637"/>
    </row>
    <row r="3811" spans="1:10" x14ac:dyDescent="0.2">
      <c r="A3811" s="626"/>
      <c r="B3811" s="637"/>
      <c r="C3811" s="637"/>
      <c r="D3811" s="637"/>
      <c r="E3811" s="637"/>
      <c r="F3811" s="637"/>
      <c r="G3811" s="637"/>
      <c r="H3811" s="637"/>
      <c r="I3811" s="637"/>
      <c r="J3811" s="637"/>
    </row>
    <row r="3812" spans="1:10" x14ac:dyDescent="0.2">
      <c r="A3812" s="626"/>
      <c r="B3812" s="637"/>
      <c r="C3812" s="637"/>
      <c r="D3812" s="637"/>
      <c r="E3812" s="637"/>
      <c r="F3812" s="637"/>
      <c r="G3812" s="637"/>
      <c r="H3812" s="637"/>
      <c r="I3812" s="637"/>
      <c r="J3812" s="637"/>
    </row>
    <row r="3813" spans="1:10" x14ac:dyDescent="0.2">
      <c r="A3813" s="626"/>
      <c r="B3813" s="637"/>
      <c r="C3813" s="637"/>
      <c r="D3813" s="637"/>
      <c r="E3813" s="637"/>
      <c r="F3813" s="637"/>
      <c r="G3813" s="637"/>
      <c r="H3813" s="637"/>
      <c r="I3813" s="637"/>
      <c r="J3813" s="637"/>
    </row>
    <row r="3814" spans="1:10" x14ac:dyDescent="0.2">
      <c r="A3814" s="626"/>
      <c r="B3814" s="637"/>
      <c r="C3814" s="637"/>
      <c r="D3814" s="637"/>
      <c r="E3814" s="637"/>
      <c r="F3814" s="637"/>
      <c r="G3814" s="637"/>
      <c r="H3814" s="637"/>
      <c r="I3814" s="637"/>
      <c r="J3814" s="637"/>
    </row>
    <row r="3815" spans="1:10" x14ac:dyDescent="0.2">
      <c r="A3815" s="626"/>
      <c r="B3815" s="637"/>
      <c r="C3815" s="637"/>
      <c r="D3815" s="637"/>
      <c r="E3815" s="637"/>
      <c r="F3815" s="637"/>
      <c r="G3815" s="637"/>
      <c r="H3815" s="637"/>
      <c r="I3815" s="637"/>
      <c r="J3815" s="637"/>
    </row>
    <row r="3816" spans="1:10" x14ac:dyDescent="0.2">
      <c r="A3816" s="626"/>
      <c r="B3816" s="637"/>
      <c r="C3816" s="637"/>
      <c r="D3816" s="637"/>
      <c r="E3816" s="637"/>
      <c r="F3816" s="637"/>
      <c r="G3816" s="637"/>
      <c r="H3816" s="637"/>
      <c r="I3816" s="637"/>
      <c r="J3816" s="637"/>
    </row>
    <row r="3817" spans="1:10" x14ac:dyDescent="0.2">
      <c r="A3817" s="626"/>
      <c r="B3817" s="637"/>
      <c r="C3817" s="637"/>
      <c r="D3817" s="637"/>
      <c r="E3817" s="637"/>
      <c r="F3817" s="637"/>
      <c r="G3817" s="637"/>
      <c r="H3817" s="637"/>
      <c r="I3817" s="637"/>
      <c r="J3817" s="637"/>
    </row>
    <row r="3818" spans="1:10" x14ac:dyDescent="0.2">
      <c r="A3818" s="626"/>
      <c r="B3818" s="637"/>
      <c r="C3818" s="637"/>
      <c r="D3818" s="637"/>
      <c r="E3818" s="637"/>
      <c r="F3818" s="637"/>
      <c r="G3818" s="637"/>
      <c r="H3818" s="637"/>
      <c r="I3818" s="637"/>
      <c r="J3818" s="637"/>
    </row>
    <row r="3819" spans="1:10" x14ac:dyDescent="0.2">
      <c r="A3819" s="626"/>
      <c r="B3819" s="637"/>
      <c r="C3819" s="637"/>
      <c r="D3819" s="637"/>
      <c r="E3819" s="637"/>
      <c r="F3819" s="637"/>
      <c r="G3819" s="637"/>
      <c r="H3819" s="637"/>
      <c r="I3819" s="637"/>
      <c r="J3819" s="637"/>
    </row>
    <row r="3820" spans="1:10" x14ac:dyDescent="0.2">
      <c r="A3820" s="626"/>
      <c r="B3820" s="637"/>
      <c r="C3820" s="637"/>
      <c r="D3820" s="637"/>
      <c r="E3820" s="637"/>
      <c r="F3820" s="637"/>
      <c r="G3820" s="637"/>
      <c r="H3820" s="637"/>
      <c r="I3820" s="637"/>
      <c r="J3820" s="637"/>
    </row>
    <row r="3821" spans="1:10" x14ac:dyDescent="0.2">
      <c r="A3821" s="626"/>
      <c r="B3821" s="637"/>
      <c r="C3821" s="637"/>
      <c r="D3821" s="637"/>
      <c r="E3821" s="637"/>
      <c r="F3821" s="637"/>
      <c r="G3821" s="637"/>
      <c r="H3821" s="637"/>
      <c r="I3821" s="637"/>
      <c r="J3821" s="637"/>
    </row>
    <row r="3822" spans="1:10" x14ac:dyDescent="0.2">
      <c r="A3822" s="626"/>
      <c r="B3822" s="637"/>
      <c r="C3822" s="637"/>
      <c r="D3822" s="637"/>
      <c r="E3822" s="637"/>
      <c r="F3822" s="637"/>
      <c r="G3822" s="637"/>
      <c r="H3822" s="637"/>
      <c r="I3822" s="637"/>
      <c r="J3822" s="637"/>
    </row>
    <row r="3823" spans="1:10" x14ac:dyDescent="0.2">
      <c r="A3823" s="626"/>
      <c r="B3823" s="637"/>
      <c r="C3823" s="637"/>
      <c r="D3823" s="637"/>
      <c r="E3823" s="637"/>
      <c r="F3823" s="637"/>
      <c r="G3823" s="637"/>
      <c r="H3823" s="637"/>
      <c r="I3823" s="637"/>
      <c r="J3823" s="637"/>
    </row>
    <row r="3824" spans="1:10" x14ac:dyDescent="0.2">
      <c r="A3824" s="626"/>
      <c r="B3824" s="637"/>
      <c r="C3824" s="637"/>
      <c r="D3824" s="637"/>
      <c r="E3824" s="637"/>
      <c r="F3824" s="637"/>
      <c r="G3824" s="637"/>
      <c r="H3824" s="637"/>
      <c r="I3824" s="637"/>
      <c r="J3824" s="637"/>
    </row>
    <row r="3825" spans="1:10" x14ac:dyDescent="0.2">
      <c r="A3825" s="626"/>
      <c r="B3825" s="637"/>
      <c r="C3825" s="637"/>
      <c r="D3825" s="637"/>
      <c r="E3825" s="637"/>
      <c r="F3825" s="637"/>
      <c r="G3825" s="637"/>
      <c r="H3825" s="637"/>
      <c r="I3825" s="637"/>
      <c r="J3825" s="637"/>
    </row>
    <row r="3826" spans="1:10" x14ac:dyDescent="0.2">
      <c r="A3826" s="626"/>
      <c r="B3826" s="637"/>
      <c r="C3826" s="637"/>
      <c r="D3826" s="637"/>
      <c r="E3826" s="637"/>
      <c r="F3826" s="637"/>
      <c r="G3826" s="637"/>
      <c r="H3826" s="637"/>
      <c r="I3826" s="637"/>
      <c r="J3826" s="637"/>
    </row>
    <row r="3827" spans="1:10" x14ac:dyDescent="0.2">
      <c r="A3827" s="626"/>
      <c r="B3827" s="637"/>
      <c r="C3827" s="637"/>
      <c r="D3827" s="637"/>
      <c r="E3827" s="637"/>
      <c r="F3827" s="637"/>
      <c r="G3827" s="637"/>
      <c r="H3827" s="637"/>
      <c r="I3827" s="637"/>
      <c r="J3827" s="637"/>
    </row>
    <row r="3828" spans="1:10" x14ac:dyDescent="0.2">
      <c r="A3828" s="626"/>
      <c r="B3828" s="637"/>
      <c r="C3828" s="637"/>
      <c r="D3828" s="637"/>
      <c r="E3828" s="637"/>
      <c r="F3828" s="637"/>
      <c r="G3828" s="637"/>
      <c r="H3828" s="637"/>
      <c r="I3828" s="637"/>
      <c r="J3828" s="637"/>
    </row>
    <row r="3829" spans="1:10" x14ac:dyDescent="0.2">
      <c r="A3829" s="626"/>
      <c r="B3829" s="637"/>
      <c r="C3829" s="637"/>
      <c r="D3829" s="637"/>
      <c r="E3829" s="637"/>
      <c r="F3829" s="637"/>
      <c r="G3829" s="637"/>
      <c r="H3829" s="637"/>
      <c r="I3829" s="637"/>
      <c r="J3829" s="637"/>
    </row>
    <row r="3830" spans="1:10" x14ac:dyDescent="0.2">
      <c r="A3830" s="626"/>
      <c r="B3830" s="637"/>
      <c r="C3830" s="637"/>
      <c r="D3830" s="637"/>
      <c r="E3830" s="637"/>
      <c r="F3830" s="637"/>
      <c r="G3830" s="637"/>
      <c r="H3830" s="637"/>
      <c r="I3830" s="637"/>
      <c r="J3830" s="637"/>
    </row>
    <row r="3831" spans="1:10" x14ac:dyDescent="0.2">
      <c r="A3831" s="626"/>
      <c r="B3831" s="637"/>
      <c r="C3831" s="637"/>
      <c r="D3831" s="637"/>
      <c r="E3831" s="637"/>
      <c r="F3831" s="637"/>
      <c r="G3831" s="637"/>
      <c r="H3831" s="637"/>
      <c r="I3831" s="637"/>
      <c r="J3831" s="637"/>
    </row>
    <row r="3832" spans="1:10" x14ac:dyDescent="0.2">
      <c r="A3832" s="626"/>
      <c r="B3832" s="637"/>
      <c r="C3832" s="637"/>
      <c r="D3832" s="637"/>
      <c r="E3832" s="637"/>
      <c r="F3832" s="637"/>
      <c r="G3832" s="637"/>
      <c r="H3832" s="637"/>
      <c r="I3832" s="637"/>
      <c r="J3832" s="637"/>
    </row>
    <row r="3833" spans="1:10" x14ac:dyDescent="0.2">
      <c r="A3833" s="626"/>
      <c r="B3833" s="637"/>
      <c r="C3833" s="637"/>
      <c r="D3833" s="637"/>
      <c r="E3833" s="637"/>
      <c r="F3833" s="637"/>
      <c r="G3833" s="637"/>
      <c r="H3833" s="637"/>
      <c r="I3833" s="637"/>
      <c r="J3833" s="637"/>
    </row>
    <row r="3834" spans="1:10" x14ac:dyDescent="0.2">
      <c r="A3834" s="626"/>
      <c r="B3834" s="637"/>
      <c r="C3834" s="637"/>
      <c r="D3834" s="637"/>
      <c r="E3834" s="637"/>
      <c r="F3834" s="637"/>
      <c r="G3834" s="637"/>
      <c r="H3834" s="637"/>
      <c r="I3834" s="637"/>
      <c r="J3834" s="637"/>
    </row>
    <row r="3835" spans="1:10" x14ac:dyDescent="0.2">
      <c r="A3835" s="626"/>
      <c r="B3835" s="637"/>
      <c r="C3835" s="637"/>
      <c r="D3835" s="637"/>
      <c r="E3835" s="637"/>
      <c r="F3835" s="637"/>
      <c r="G3835" s="637"/>
      <c r="H3835" s="637"/>
      <c r="I3835" s="637"/>
      <c r="J3835" s="637"/>
    </row>
    <row r="3836" spans="1:10" x14ac:dyDescent="0.2">
      <c r="A3836" s="626"/>
      <c r="B3836" s="637"/>
      <c r="C3836" s="637"/>
      <c r="D3836" s="637"/>
      <c r="E3836" s="637"/>
      <c r="F3836" s="637"/>
      <c r="G3836" s="637"/>
      <c r="H3836" s="637"/>
      <c r="I3836" s="637"/>
      <c r="J3836" s="637"/>
    </row>
    <row r="3837" spans="1:10" x14ac:dyDescent="0.2">
      <c r="A3837" s="626"/>
      <c r="B3837" s="637"/>
      <c r="C3837" s="637"/>
      <c r="D3837" s="637"/>
      <c r="E3837" s="637"/>
      <c r="F3837" s="637"/>
      <c r="G3837" s="637"/>
      <c r="H3837" s="637"/>
      <c r="I3837" s="637"/>
      <c r="J3837" s="637"/>
    </row>
    <row r="3838" spans="1:10" x14ac:dyDescent="0.2">
      <c r="A3838" s="626"/>
      <c r="B3838" s="637"/>
      <c r="C3838" s="637"/>
      <c r="D3838" s="637"/>
      <c r="E3838" s="637"/>
      <c r="F3838" s="637"/>
      <c r="G3838" s="637"/>
      <c r="H3838" s="637"/>
      <c r="I3838" s="637"/>
      <c r="J3838" s="637"/>
    </row>
    <row r="3839" spans="1:10" x14ac:dyDescent="0.2">
      <c r="A3839" s="626"/>
      <c r="B3839" s="637"/>
      <c r="C3839" s="637"/>
      <c r="D3839" s="637"/>
      <c r="E3839" s="637"/>
      <c r="F3839" s="637"/>
      <c r="G3839" s="637"/>
      <c r="H3839" s="637"/>
      <c r="I3839" s="637"/>
      <c r="J3839" s="637"/>
    </row>
    <row r="3840" spans="1:10" x14ac:dyDescent="0.2">
      <c r="A3840" s="626"/>
      <c r="B3840" s="637"/>
      <c r="C3840" s="637"/>
      <c r="D3840" s="637"/>
      <c r="E3840" s="637"/>
      <c r="F3840" s="637"/>
      <c r="G3840" s="637"/>
      <c r="H3840" s="637"/>
      <c r="I3840" s="637"/>
      <c r="J3840" s="637"/>
    </row>
    <row r="3841" spans="1:10" x14ac:dyDescent="0.2">
      <c r="A3841" s="626"/>
      <c r="B3841" s="637"/>
      <c r="C3841" s="637"/>
      <c r="D3841" s="637"/>
      <c r="E3841" s="637"/>
      <c r="F3841" s="637"/>
      <c r="G3841" s="637"/>
      <c r="H3841" s="637"/>
      <c r="I3841" s="637"/>
      <c r="J3841" s="637"/>
    </row>
    <row r="3842" spans="1:10" x14ac:dyDescent="0.2">
      <c r="A3842" s="626"/>
      <c r="B3842" s="637"/>
      <c r="C3842" s="637"/>
      <c r="D3842" s="637"/>
      <c r="E3842" s="637"/>
      <c r="F3842" s="637"/>
      <c r="G3842" s="637"/>
      <c r="H3842" s="637"/>
      <c r="I3842" s="637"/>
      <c r="J3842" s="637"/>
    </row>
    <row r="3843" spans="1:10" x14ac:dyDescent="0.2">
      <c r="A3843" s="626"/>
      <c r="B3843" s="637"/>
      <c r="C3843" s="637"/>
      <c r="D3843" s="637"/>
      <c r="E3843" s="637"/>
      <c r="F3843" s="637"/>
      <c r="G3843" s="637"/>
      <c r="H3843" s="637"/>
      <c r="I3843" s="637"/>
      <c r="J3843" s="637"/>
    </row>
    <row r="3844" spans="1:10" x14ac:dyDescent="0.2">
      <c r="A3844" s="626"/>
      <c r="B3844" s="637"/>
      <c r="C3844" s="637"/>
      <c r="D3844" s="637"/>
      <c r="E3844" s="637"/>
      <c r="F3844" s="637"/>
      <c r="G3844" s="637"/>
      <c r="H3844" s="637"/>
      <c r="I3844" s="637"/>
      <c r="J3844" s="637"/>
    </row>
    <row r="3845" spans="1:10" x14ac:dyDescent="0.2">
      <c r="A3845" s="626"/>
      <c r="B3845" s="637"/>
      <c r="C3845" s="637"/>
      <c r="D3845" s="637"/>
      <c r="E3845" s="637"/>
      <c r="F3845" s="637"/>
      <c r="G3845" s="637"/>
      <c r="H3845" s="637"/>
      <c r="I3845" s="637"/>
      <c r="J3845" s="637"/>
    </row>
    <row r="3846" spans="1:10" x14ac:dyDescent="0.2">
      <c r="A3846" s="626"/>
      <c r="B3846" s="637"/>
      <c r="C3846" s="637"/>
      <c r="D3846" s="637"/>
      <c r="E3846" s="637"/>
      <c r="F3846" s="637"/>
      <c r="G3846" s="637"/>
      <c r="H3846" s="637"/>
      <c r="I3846" s="637"/>
      <c r="J3846" s="637"/>
    </row>
    <row r="3847" spans="1:10" x14ac:dyDescent="0.2">
      <c r="A3847" s="626"/>
      <c r="B3847" s="637"/>
      <c r="C3847" s="637"/>
      <c r="D3847" s="637"/>
      <c r="E3847" s="637"/>
      <c r="F3847" s="637"/>
      <c r="G3847" s="637"/>
      <c r="H3847" s="637"/>
      <c r="I3847" s="637"/>
      <c r="J3847" s="637"/>
    </row>
    <row r="3848" spans="1:10" x14ac:dyDescent="0.2">
      <c r="A3848" s="626"/>
      <c r="B3848" s="637"/>
      <c r="C3848" s="637"/>
      <c r="D3848" s="637"/>
      <c r="E3848" s="637"/>
      <c r="F3848" s="637"/>
      <c r="G3848" s="637"/>
      <c r="H3848" s="637"/>
      <c r="I3848" s="637"/>
      <c r="J3848" s="637"/>
    </row>
    <row r="3849" spans="1:10" x14ac:dyDescent="0.2">
      <c r="A3849" s="626"/>
      <c r="B3849" s="637"/>
      <c r="C3849" s="637"/>
      <c r="D3849" s="637"/>
      <c r="E3849" s="637"/>
      <c r="F3849" s="637"/>
      <c r="G3849" s="637"/>
      <c r="H3849" s="637"/>
      <c r="I3849" s="637"/>
      <c r="J3849" s="637"/>
    </row>
    <row r="3850" spans="1:10" x14ac:dyDescent="0.2">
      <c r="A3850" s="626"/>
      <c r="B3850" s="637"/>
      <c r="C3850" s="637"/>
      <c r="D3850" s="637"/>
      <c r="E3850" s="637"/>
      <c r="F3850" s="637"/>
      <c r="G3850" s="637"/>
      <c r="H3850" s="637"/>
      <c r="I3850" s="637"/>
      <c r="J3850" s="637"/>
    </row>
    <row r="3851" spans="1:10" x14ac:dyDescent="0.2">
      <c r="A3851" s="626"/>
      <c r="B3851" s="637"/>
      <c r="C3851" s="637"/>
      <c r="D3851" s="637"/>
      <c r="E3851" s="637"/>
      <c r="F3851" s="637"/>
      <c r="G3851" s="637"/>
      <c r="H3851" s="637"/>
      <c r="I3851" s="637"/>
      <c r="J3851" s="637"/>
    </row>
    <row r="3852" spans="1:10" x14ac:dyDescent="0.2">
      <c r="A3852" s="626"/>
      <c r="B3852" s="637"/>
      <c r="C3852" s="637"/>
      <c r="D3852" s="637"/>
      <c r="E3852" s="637"/>
      <c r="F3852" s="637"/>
      <c r="G3852" s="637"/>
      <c r="H3852" s="637"/>
      <c r="I3852" s="637"/>
      <c r="J3852" s="637"/>
    </row>
    <row r="3853" spans="1:10" x14ac:dyDescent="0.2">
      <c r="A3853" s="626"/>
      <c r="B3853" s="637"/>
      <c r="C3853" s="637"/>
      <c r="D3853" s="637"/>
      <c r="E3853" s="637"/>
      <c r="F3853" s="637"/>
      <c r="G3853" s="637"/>
      <c r="H3853" s="637"/>
      <c r="I3853" s="637"/>
      <c r="J3853" s="637"/>
    </row>
    <row r="3854" spans="1:10" x14ac:dyDescent="0.2">
      <c r="A3854" s="626"/>
      <c r="B3854" s="637"/>
      <c r="C3854" s="637"/>
      <c r="D3854" s="637"/>
      <c r="E3854" s="637"/>
      <c r="F3854" s="637"/>
      <c r="G3854" s="637"/>
      <c r="H3854" s="637"/>
      <c r="I3854" s="637"/>
      <c r="J3854" s="637"/>
    </row>
    <row r="3855" spans="1:10" x14ac:dyDescent="0.2">
      <c r="A3855" s="626"/>
      <c r="B3855" s="637"/>
      <c r="C3855" s="637"/>
      <c r="D3855" s="637"/>
      <c r="E3855" s="637"/>
      <c r="F3855" s="637"/>
      <c r="G3855" s="637"/>
      <c r="H3855" s="637"/>
      <c r="I3855" s="637"/>
      <c r="J3855" s="637"/>
    </row>
    <row r="3856" spans="1:10" x14ac:dyDescent="0.2">
      <c r="A3856" s="626"/>
      <c r="B3856" s="637"/>
      <c r="C3856" s="637"/>
      <c r="D3856" s="637"/>
      <c r="E3856" s="637"/>
      <c r="F3856" s="637"/>
      <c r="G3856" s="637"/>
      <c r="H3856" s="637"/>
      <c r="I3856" s="637"/>
      <c r="J3856" s="637"/>
    </row>
    <row r="3857" spans="1:10" x14ac:dyDescent="0.2">
      <c r="A3857" s="626"/>
      <c r="B3857" s="637"/>
      <c r="C3857" s="637"/>
      <c r="D3857" s="637"/>
      <c r="E3857" s="637"/>
      <c r="F3857" s="637"/>
      <c r="G3857" s="637"/>
      <c r="H3857" s="637"/>
      <c r="I3857" s="637"/>
      <c r="J3857" s="637"/>
    </row>
    <row r="3858" spans="1:10" x14ac:dyDescent="0.2">
      <c r="A3858" s="626"/>
      <c r="B3858" s="637"/>
      <c r="C3858" s="637"/>
      <c r="D3858" s="637"/>
      <c r="E3858" s="637"/>
      <c r="F3858" s="637"/>
      <c r="G3858" s="637"/>
      <c r="H3858" s="637"/>
      <c r="I3858" s="637"/>
      <c r="J3858" s="637"/>
    </row>
    <row r="3859" spans="1:10" x14ac:dyDescent="0.2">
      <c r="A3859" s="626"/>
      <c r="B3859" s="637"/>
      <c r="C3859" s="637"/>
      <c r="D3859" s="637"/>
      <c r="E3859" s="637"/>
      <c r="F3859" s="637"/>
      <c r="G3859" s="637"/>
      <c r="H3859" s="637"/>
      <c r="I3859" s="637"/>
      <c r="J3859" s="637"/>
    </row>
    <row r="3860" spans="1:10" x14ac:dyDescent="0.2">
      <c r="A3860" s="626"/>
      <c r="B3860" s="637"/>
      <c r="C3860" s="637"/>
      <c r="D3860" s="637"/>
      <c r="E3860" s="637"/>
      <c r="F3860" s="637"/>
      <c r="G3860" s="637"/>
      <c r="H3860" s="637"/>
      <c r="I3860" s="637"/>
      <c r="J3860" s="637"/>
    </row>
    <row r="3861" spans="1:10" x14ac:dyDescent="0.2">
      <c r="A3861" s="626"/>
      <c r="B3861" s="637"/>
      <c r="C3861" s="637"/>
      <c r="D3861" s="637"/>
      <c r="E3861" s="637"/>
      <c r="F3861" s="637"/>
      <c r="G3861" s="637"/>
      <c r="H3861" s="637"/>
      <c r="I3861" s="637"/>
      <c r="J3861" s="637"/>
    </row>
    <row r="3862" spans="1:10" x14ac:dyDescent="0.2">
      <c r="A3862" s="626"/>
      <c r="B3862" s="637"/>
      <c r="C3862" s="637"/>
      <c r="D3862" s="637"/>
      <c r="E3862" s="637"/>
      <c r="F3862" s="637"/>
      <c r="G3862" s="637"/>
      <c r="H3862" s="637"/>
      <c r="I3862" s="637"/>
      <c r="J3862" s="637"/>
    </row>
    <row r="3863" spans="1:10" x14ac:dyDescent="0.2">
      <c r="A3863" s="626"/>
      <c r="B3863" s="637"/>
      <c r="C3863" s="637"/>
      <c r="D3863" s="637"/>
      <c r="E3863" s="637"/>
      <c r="F3863" s="637"/>
      <c r="G3863" s="637"/>
      <c r="H3863" s="637"/>
      <c r="I3863" s="637"/>
      <c r="J3863" s="637"/>
    </row>
    <row r="3864" spans="1:10" x14ac:dyDescent="0.2">
      <c r="A3864" s="626"/>
      <c r="B3864" s="637"/>
      <c r="C3864" s="637"/>
      <c r="D3864" s="637"/>
      <c r="E3864" s="637"/>
      <c r="F3864" s="637"/>
      <c r="G3864" s="637"/>
      <c r="H3864" s="637"/>
      <c r="I3864" s="637"/>
      <c r="J3864" s="637"/>
    </row>
    <row r="3865" spans="1:10" x14ac:dyDescent="0.2">
      <c r="A3865" s="626"/>
      <c r="B3865" s="637"/>
      <c r="C3865" s="637"/>
      <c r="D3865" s="637"/>
      <c r="E3865" s="637"/>
      <c r="F3865" s="637"/>
      <c r="G3865" s="637"/>
      <c r="H3865" s="637"/>
      <c r="I3865" s="637"/>
      <c r="J3865" s="637"/>
    </row>
    <row r="3866" spans="1:10" x14ac:dyDescent="0.2">
      <c r="A3866" s="626"/>
      <c r="B3866" s="637"/>
      <c r="C3866" s="637"/>
      <c r="D3866" s="637"/>
      <c r="E3866" s="637"/>
      <c r="F3866" s="637"/>
      <c r="G3866" s="637"/>
      <c r="H3866" s="637"/>
      <c r="I3866" s="637"/>
      <c r="J3866" s="637"/>
    </row>
    <row r="3867" spans="1:10" x14ac:dyDescent="0.2">
      <c r="A3867" s="626"/>
      <c r="B3867" s="637"/>
      <c r="C3867" s="637"/>
      <c r="D3867" s="637"/>
      <c r="E3867" s="637"/>
      <c r="F3867" s="637"/>
      <c r="G3867" s="637"/>
      <c r="H3867" s="637"/>
      <c r="I3867" s="637"/>
      <c r="J3867" s="637"/>
    </row>
    <row r="3868" spans="1:10" x14ac:dyDescent="0.2">
      <c r="A3868" s="626"/>
      <c r="B3868" s="637"/>
      <c r="C3868" s="637"/>
      <c r="D3868" s="637"/>
      <c r="E3868" s="637"/>
      <c r="F3868" s="637"/>
      <c r="G3868" s="637"/>
      <c r="H3868" s="637"/>
      <c r="I3868" s="637"/>
      <c r="J3868" s="637"/>
    </row>
    <row r="3869" spans="1:10" x14ac:dyDescent="0.2">
      <c r="A3869" s="626"/>
      <c r="B3869" s="637"/>
      <c r="C3869" s="637"/>
      <c r="D3869" s="637"/>
      <c r="E3869" s="637"/>
      <c r="F3869" s="637"/>
      <c r="G3869" s="637"/>
      <c r="H3869" s="637"/>
      <c r="I3869" s="637"/>
      <c r="J3869" s="637"/>
    </row>
    <row r="3870" spans="1:10" x14ac:dyDescent="0.2">
      <c r="A3870" s="626"/>
      <c r="B3870" s="637"/>
      <c r="C3870" s="637"/>
      <c r="D3870" s="637"/>
      <c r="E3870" s="637"/>
      <c r="F3870" s="637"/>
      <c r="G3870" s="637"/>
      <c r="H3870" s="637"/>
      <c r="I3870" s="637"/>
      <c r="J3870" s="637"/>
    </row>
    <row r="3871" spans="1:10" x14ac:dyDescent="0.2">
      <c r="A3871" s="626"/>
      <c r="B3871" s="637"/>
      <c r="C3871" s="637"/>
      <c r="D3871" s="637"/>
      <c r="E3871" s="637"/>
      <c r="F3871" s="637"/>
      <c r="G3871" s="637"/>
      <c r="H3871" s="637"/>
      <c r="I3871" s="637"/>
      <c r="J3871" s="637"/>
    </row>
    <row r="3872" spans="1:10" x14ac:dyDescent="0.2">
      <c r="A3872" s="626"/>
      <c r="B3872" s="637"/>
      <c r="C3872" s="637"/>
      <c r="D3872" s="637"/>
      <c r="E3872" s="637"/>
      <c r="F3872" s="637"/>
      <c r="G3872" s="637"/>
      <c r="H3872" s="637"/>
      <c r="I3872" s="637"/>
      <c r="J3872" s="637"/>
    </row>
    <row r="3873" spans="1:10" x14ac:dyDescent="0.2">
      <c r="A3873" s="626"/>
      <c r="B3873" s="637"/>
      <c r="C3873" s="637"/>
      <c r="D3873" s="637"/>
      <c r="E3873" s="637"/>
      <c r="F3873" s="637"/>
      <c r="G3873" s="637"/>
      <c r="H3873" s="637"/>
      <c r="I3873" s="637"/>
      <c r="J3873" s="637"/>
    </row>
    <row r="3874" spans="1:10" x14ac:dyDescent="0.2">
      <c r="A3874" s="626"/>
      <c r="B3874" s="637"/>
      <c r="C3874" s="637"/>
      <c r="D3874" s="637"/>
      <c r="E3874" s="637"/>
      <c r="F3874" s="637"/>
      <c r="G3874" s="637"/>
      <c r="H3874" s="637"/>
      <c r="I3874" s="637"/>
      <c r="J3874" s="637"/>
    </row>
    <row r="3875" spans="1:10" x14ac:dyDescent="0.2">
      <c r="A3875" s="626"/>
      <c r="B3875" s="637"/>
      <c r="C3875" s="637"/>
      <c r="D3875" s="637"/>
      <c r="E3875" s="637"/>
      <c r="F3875" s="637"/>
      <c r="G3875" s="637"/>
      <c r="H3875" s="637"/>
      <c r="I3875" s="637"/>
      <c r="J3875" s="637"/>
    </row>
    <row r="3876" spans="1:10" x14ac:dyDescent="0.2">
      <c r="A3876" s="626"/>
      <c r="B3876" s="637"/>
      <c r="C3876" s="637"/>
      <c r="D3876" s="637"/>
      <c r="E3876" s="637"/>
      <c r="F3876" s="637"/>
      <c r="G3876" s="637"/>
      <c r="H3876" s="637"/>
      <c r="I3876" s="637"/>
      <c r="J3876" s="637"/>
    </row>
    <row r="3877" spans="1:10" x14ac:dyDescent="0.2">
      <c r="A3877" s="626"/>
      <c r="B3877" s="637"/>
      <c r="C3877" s="637"/>
      <c r="D3877" s="637"/>
      <c r="E3877" s="637"/>
      <c r="F3877" s="637"/>
      <c r="G3877" s="637"/>
      <c r="H3877" s="637"/>
      <c r="I3877" s="637"/>
      <c r="J3877" s="637"/>
    </row>
    <row r="3878" spans="1:10" x14ac:dyDescent="0.2">
      <c r="A3878" s="626"/>
      <c r="B3878" s="637"/>
      <c r="C3878" s="637"/>
      <c r="D3878" s="637"/>
      <c r="E3878" s="637"/>
      <c r="F3878" s="637"/>
      <c r="G3878" s="637"/>
      <c r="H3878" s="637"/>
      <c r="I3878" s="637"/>
      <c r="J3878" s="637"/>
    </row>
    <row r="3879" spans="1:10" x14ac:dyDescent="0.2">
      <c r="A3879" s="626"/>
      <c r="B3879" s="637"/>
      <c r="C3879" s="637"/>
      <c r="D3879" s="637"/>
      <c r="E3879" s="637"/>
      <c r="F3879" s="637"/>
      <c r="G3879" s="637"/>
      <c r="H3879" s="637"/>
      <c r="I3879" s="637"/>
      <c r="J3879" s="637"/>
    </row>
    <row r="3880" spans="1:10" x14ac:dyDescent="0.2">
      <c r="A3880" s="626"/>
      <c r="B3880" s="637"/>
      <c r="C3880" s="637"/>
      <c r="D3880" s="637"/>
      <c r="E3880" s="637"/>
      <c r="F3880" s="637"/>
      <c r="G3880" s="637"/>
      <c r="H3880" s="637"/>
      <c r="I3880" s="637"/>
      <c r="J3880" s="637"/>
    </row>
    <row r="3881" spans="1:10" x14ac:dyDescent="0.2">
      <c r="A3881" s="626"/>
      <c r="B3881" s="637"/>
      <c r="C3881" s="637"/>
      <c r="D3881" s="637"/>
      <c r="E3881" s="637"/>
      <c r="F3881" s="637"/>
      <c r="G3881" s="637"/>
      <c r="H3881" s="637"/>
      <c r="I3881" s="637"/>
      <c r="J3881" s="637"/>
    </row>
    <row r="3882" spans="1:10" x14ac:dyDescent="0.2">
      <c r="A3882" s="626"/>
      <c r="B3882" s="637"/>
      <c r="C3882" s="637"/>
      <c r="D3882" s="637"/>
      <c r="E3882" s="637"/>
      <c r="F3882" s="637"/>
      <c r="G3882" s="637"/>
      <c r="H3882" s="637"/>
      <c r="I3882" s="637"/>
      <c r="J3882" s="637"/>
    </row>
    <row r="3883" spans="1:10" x14ac:dyDescent="0.2">
      <c r="A3883" s="626"/>
      <c r="B3883" s="637"/>
      <c r="C3883" s="637"/>
      <c r="D3883" s="637"/>
      <c r="E3883" s="637"/>
      <c r="F3883" s="637"/>
      <c r="G3883" s="637"/>
      <c r="H3883" s="637"/>
      <c r="I3883" s="637"/>
      <c r="J3883" s="637"/>
    </row>
    <row r="3884" spans="1:10" x14ac:dyDescent="0.2">
      <c r="A3884" s="626"/>
      <c r="B3884" s="637"/>
      <c r="C3884" s="637"/>
      <c r="D3884" s="637"/>
      <c r="E3884" s="637"/>
      <c r="F3884" s="637"/>
      <c r="G3884" s="637"/>
      <c r="H3884" s="637"/>
      <c r="I3884" s="637"/>
      <c r="J3884" s="637"/>
    </row>
    <row r="3885" spans="1:10" x14ac:dyDescent="0.2">
      <c r="A3885" s="626"/>
      <c r="B3885" s="637"/>
      <c r="C3885" s="637"/>
      <c r="D3885" s="637"/>
      <c r="E3885" s="637"/>
      <c r="F3885" s="637"/>
      <c r="G3885" s="637"/>
      <c r="H3885" s="637"/>
      <c r="I3885" s="637"/>
      <c r="J3885" s="637"/>
    </row>
    <row r="3886" spans="1:10" x14ac:dyDescent="0.2">
      <c r="A3886" s="626"/>
      <c r="B3886" s="637"/>
      <c r="C3886" s="637"/>
      <c r="D3886" s="637"/>
      <c r="E3886" s="637"/>
      <c r="F3886" s="637"/>
      <c r="G3886" s="637"/>
      <c r="H3886" s="637"/>
      <c r="I3886" s="637"/>
      <c r="J3886" s="637"/>
    </row>
    <row r="3887" spans="1:10" x14ac:dyDescent="0.2">
      <c r="A3887" s="626"/>
      <c r="B3887" s="637"/>
      <c r="C3887" s="637"/>
      <c r="D3887" s="637"/>
      <c r="E3887" s="637"/>
      <c r="F3887" s="637"/>
      <c r="G3887" s="637"/>
      <c r="H3887" s="637"/>
      <c r="I3887" s="637"/>
      <c r="J3887" s="637"/>
    </row>
    <row r="3888" spans="1:10" x14ac:dyDescent="0.2">
      <c r="A3888" s="626"/>
      <c r="B3888" s="637"/>
      <c r="C3888" s="637"/>
      <c r="D3888" s="637"/>
      <c r="E3888" s="637"/>
      <c r="F3888" s="637"/>
      <c r="G3888" s="637"/>
      <c r="H3888" s="637"/>
      <c r="I3888" s="637"/>
      <c r="J3888" s="637"/>
    </row>
    <row r="3889" spans="1:10" x14ac:dyDescent="0.2">
      <c r="A3889" s="626"/>
      <c r="B3889" s="637"/>
      <c r="C3889" s="637"/>
      <c r="D3889" s="637"/>
      <c r="E3889" s="637"/>
      <c r="F3889" s="637"/>
      <c r="G3889" s="637"/>
      <c r="H3889" s="637"/>
      <c r="I3889" s="637"/>
      <c r="J3889" s="637"/>
    </row>
    <row r="3890" spans="1:10" x14ac:dyDescent="0.2">
      <c r="A3890" s="626"/>
      <c r="B3890" s="637"/>
      <c r="C3890" s="637"/>
      <c r="D3890" s="637"/>
      <c r="E3890" s="637"/>
      <c r="F3890" s="637"/>
      <c r="G3890" s="637"/>
      <c r="H3890" s="637"/>
      <c r="I3890" s="637"/>
      <c r="J3890" s="637"/>
    </row>
    <row r="3891" spans="1:10" x14ac:dyDescent="0.2">
      <c r="A3891" s="626"/>
      <c r="B3891" s="637"/>
      <c r="C3891" s="637"/>
      <c r="D3891" s="637"/>
      <c r="E3891" s="637"/>
      <c r="F3891" s="637"/>
      <c r="G3891" s="637"/>
      <c r="H3891" s="637"/>
      <c r="I3891" s="637"/>
      <c r="J3891" s="637"/>
    </row>
    <row r="3892" spans="1:10" x14ac:dyDescent="0.2">
      <c r="A3892" s="626"/>
      <c r="B3892" s="637"/>
      <c r="C3892" s="637"/>
      <c r="D3892" s="637"/>
      <c r="E3892" s="637"/>
      <c r="F3892" s="637"/>
      <c r="G3892" s="637"/>
      <c r="H3892" s="637"/>
      <c r="I3892" s="637"/>
      <c r="J3892" s="637"/>
    </row>
    <row r="3893" spans="1:10" x14ac:dyDescent="0.2">
      <c r="A3893" s="626"/>
      <c r="B3893" s="637"/>
      <c r="C3893" s="637"/>
      <c r="D3893" s="637"/>
      <c r="E3893" s="637"/>
      <c r="F3893" s="637"/>
      <c r="G3893" s="637"/>
      <c r="H3893" s="637"/>
      <c r="I3893" s="637"/>
      <c r="J3893" s="637"/>
    </row>
    <row r="3894" spans="1:10" x14ac:dyDescent="0.2">
      <c r="A3894" s="626"/>
      <c r="B3894" s="637"/>
      <c r="C3894" s="637"/>
      <c r="D3894" s="637"/>
      <c r="E3894" s="637"/>
      <c r="F3894" s="637"/>
      <c r="G3894" s="637"/>
      <c r="H3894" s="637"/>
      <c r="I3894" s="637"/>
      <c r="J3894" s="637"/>
    </row>
    <row r="3895" spans="1:10" x14ac:dyDescent="0.2">
      <c r="A3895" s="626"/>
      <c r="B3895" s="637"/>
      <c r="C3895" s="637"/>
      <c r="D3895" s="637"/>
      <c r="E3895" s="637"/>
      <c r="F3895" s="637"/>
      <c r="G3895" s="637"/>
      <c r="H3895" s="637"/>
      <c r="I3895" s="637"/>
      <c r="J3895" s="637"/>
    </row>
    <row r="3896" spans="1:10" x14ac:dyDescent="0.2">
      <c r="A3896" s="626"/>
      <c r="B3896" s="637"/>
      <c r="C3896" s="637"/>
      <c r="D3896" s="637"/>
      <c r="E3896" s="637"/>
      <c r="F3896" s="637"/>
      <c r="G3896" s="637"/>
      <c r="H3896" s="637"/>
      <c r="I3896" s="637"/>
      <c r="J3896" s="637"/>
    </row>
    <row r="3897" spans="1:10" x14ac:dyDescent="0.2">
      <c r="A3897" s="626"/>
      <c r="B3897" s="637"/>
      <c r="C3897" s="637"/>
      <c r="D3897" s="637"/>
      <c r="E3897" s="637"/>
      <c r="F3897" s="637"/>
      <c r="G3897" s="637"/>
      <c r="H3897" s="637"/>
      <c r="I3897" s="637"/>
      <c r="J3897" s="637"/>
    </row>
    <row r="3898" spans="1:10" x14ac:dyDescent="0.2">
      <c r="A3898" s="626"/>
      <c r="B3898" s="637"/>
      <c r="C3898" s="637"/>
      <c r="D3898" s="637"/>
      <c r="E3898" s="637"/>
      <c r="F3898" s="637"/>
      <c r="G3898" s="637"/>
      <c r="H3898" s="637"/>
      <c r="I3898" s="637"/>
      <c r="J3898" s="637"/>
    </row>
    <row r="3899" spans="1:10" x14ac:dyDescent="0.2">
      <c r="A3899" s="626"/>
      <c r="B3899" s="637"/>
      <c r="C3899" s="637"/>
      <c r="D3899" s="637"/>
      <c r="E3899" s="637"/>
      <c r="F3899" s="637"/>
      <c r="G3899" s="637"/>
      <c r="H3899" s="637"/>
      <c r="I3899" s="637"/>
      <c r="J3899" s="637"/>
    </row>
    <row r="3900" spans="1:10" x14ac:dyDescent="0.2">
      <c r="A3900" s="626"/>
      <c r="B3900" s="637"/>
      <c r="C3900" s="637"/>
      <c r="D3900" s="637"/>
      <c r="E3900" s="637"/>
      <c r="F3900" s="637"/>
      <c r="G3900" s="637"/>
      <c r="H3900" s="637"/>
      <c r="I3900" s="637"/>
      <c r="J3900" s="637"/>
    </row>
    <row r="3901" spans="1:10" x14ac:dyDescent="0.2">
      <c r="A3901" s="626"/>
      <c r="B3901" s="637"/>
      <c r="C3901" s="637"/>
      <c r="D3901" s="637"/>
      <c r="E3901" s="637"/>
      <c r="F3901" s="637"/>
      <c r="G3901" s="637"/>
      <c r="H3901" s="637"/>
      <c r="I3901" s="637"/>
      <c r="J3901" s="637"/>
    </row>
    <row r="3902" spans="1:10" x14ac:dyDescent="0.2">
      <c r="A3902" s="626"/>
      <c r="B3902" s="637"/>
      <c r="C3902" s="637"/>
      <c r="D3902" s="637"/>
      <c r="E3902" s="637"/>
      <c r="F3902" s="637"/>
      <c r="G3902" s="637"/>
      <c r="H3902" s="637"/>
      <c r="I3902" s="637"/>
      <c r="J3902" s="637"/>
    </row>
    <row r="3903" spans="1:10" x14ac:dyDescent="0.2">
      <c r="A3903" s="626"/>
      <c r="B3903" s="637"/>
      <c r="C3903" s="637"/>
      <c r="D3903" s="637"/>
      <c r="E3903" s="637"/>
      <c r="F3903" s="637"/>
      <c r="G3903" s="637"/>
      <c r="H3903" s="637"/>
      <c r="I3903" s="637"/>
      <c r="J3903" s="637"/>
    </row>
    <row r="3904" spans="1:10" x14ac:dyDescent="0.2">
      <c r="A3904" s="626"/>
      <c r="B3904" s="637"/>
      <c r="C3904" s="637"/>
      <c r="D3904" s="637"/>
      <c r="E3904" s="637"/>
      <c r="F3904" s="637"/>
      <c r="G3904" s="637"/>
      <c r="H3904" s="637"/>
      <c r="I3904" s="637"/>
      <c r="J3904" s="637"/>
    </row>
    <row r="3905" spans="1:10" x14ac:dyDescent="0.2">
      <c r="A3905" s="626"/>
      <c r="B3905" s="637"/>
      <c r="C3905" s="637"/>
      <c r="D3905" s="637"/>
      <c r="E3905" s="637"/>
      <c r="F3905" s="637"/>
      <c r="G3905" s="637"/>
      <c r="H3905" s="637"/>
      <c r="I3905" s="637"/>
      <c r="J3905" s="637"/>
    </row>
    <row r="3906" spans="1:10" x14ac:dyDescent="0.2">
      <c r="A3906" s="626"/>
      <c r="B3906" s="637"/>
      <c r="C3906" s="637"/>
      <c r="D3906" s="637"/>
      <c r="E3906" s="637"/>
      <c r="F3906" s="637"/>
      <c r="G3906" s="637"/>
      <c r="H3906" s="637"/>
      <c r="I3906" s="637"/>
      <c r="J3906" s="637"/>
    </row>
    <row r="3907" spans="1:10" x14ac:dyDescent="0.2">
      <c r="A3907" s="626"/>
      <c r="B3907" s="637"/>
      <c r="C3907" s="637"/>
      <c r="D3907" s="637"/>
      <c r="E3907" s="637"/>
      <c r="F3907" s="637"/>
      <c r="G3907" s="637"/>
      <c r="H3907" s="637"/>
      <c r="I3907" s="637"/>
      <c r="J3907" s="637"/>
    </row>
    <row r="3908" spans="1:10" x14ac:dyDescent="0.2">
      <c r="A3908" s="626"/>
      <c r="B3908" s="637"/>
      <c r="C3908" s="637"/>
      <c r="D3908" s="637"/>
      <c r="E3908" s="637"/>
      <c r="F3908" s="637"/>
      <c r="G3908" s="637"/>
      <c r="H3908" s="637"/>
      <c r="I3908" s="637"/>
      <c r="J3908" s="637"/>
    </row>
    <row r="3909" spans="1:10" x14ac:dyDescent="0.2">
      <c r="A3909" s="626"/>
      <c r="B3909" s="637"/>
      <c r="C3909" s="637"/>
      <c r="D3909" s="637"/>
      <c r="E3909" s="637"/>
      <c r="F3909" s="637"/>
      <c r="G3909" s="637"/>
      <c r="H3909" s="637"/>
      <c r="I3909" s="637"/>
      <c r="J3909" s="637"/>
    </row>
    <row r="3910" spans="1:10" x14ac:dyDescent="0.2">
      <c r="A3910" s="626"/>
      <c r="B3910" s="637"/>
      <c r="C3910" s="637"/>
      <c r="D3910" s="637"/>
      <c r="E3910" s="637"/>
      <c r="F3910" s="637"/>
      <c r="G3910" s="637"/>
      <c r="H3910" s="637"/>
      <c r="I3910" s="637"/>
      <c r="J3910" s="637"/>
    </row>
    <row r="3911" spans="1:10" x14ac:dyDescent="0.2">
      <c r="A3911" s="626"/>
      <c r="B3911" s="637"/>
      <c r="C3911" s="637"/>
      <c r="D3911" s="637"/>
      <c r="E3911" s="637"/>
      <c r="F3911" s="637"/>
      <c r="G3911" s="637"/>
      <c r="H3911" s="637"/>
      <c r="I3911" s="637"/>
      <c r="J3911" s="637"/>
    </row>
    <row r="3912" spans="1:10" x14ac:dyDescent="0.2">
      <c r="A3912" s="626"/>
      <c r="B3912" s="637"/>
      <c r="C3912" s="637"/>
      <c r="D3912" s="637"/>
      <c r="E3912" s="637"/>
      <c r="F3912" s="637"/>
      <c r="G3912" s="637"/>
      <c r="H3912" s="637"/>
      <c r="I3912" s="637"/>
      <c r="J3912" s="637"/>
    </row>
    <row r="3913" spans="1:10" x14ac:dyDescent="0.2">
      <c r="A3913" s="626"/>
      <c r="B3913" s="637"/>
      <c r="C3913" s="637"/>
      <c r="D3913" s="637"/>
      <c r="E3913" s="637"/>
      <c r="F3913" s="637"/>
      <c r="G3913" s="637"/>
      <c r="H3913" s="637"/>
      <c r="I3913" s="637"/>
      <c r="J3913" s="637"/>
    </row>
    <row r="3914" spans="1:10" x14ac:dyDescent="0.2">
      <c r="A3914" s="626"/>
      <c r="B3914" s="637"/>
      <c r="C3914" s="637"/>
      <c r="D3914" s="637"/>
      <c r="E3914" s="637"/>
      <c r="F3914" s="637"/>
      <c r="G3914" s="637"/>
      <c r="H3914" s="637"/>
      <c r="I3914" s="637"/>
      <c r="J3914" s="637"/>
    </row>
    <row r="3915" spans="1:10" x14ac:dyDescent="0.2">
      <c r="A3915" s="626"/>
      <c r="B3915" s="637"/>
      <c r="C3915" s="637"/>
      <c r="D3915" s="637"/>
      <c r="E3915" s="637"/>
      <c r="F3915" s="637"/>
      <c r="G3915" s="637"/>
      <c r="H3915" s="637"/>
      <c r="I3915" s="637"/>
      <c r="J3915" s="637"/>
    </row>
    <row r="3916" spans="1:10" x14ac:dyDescent="0.2">
      <c r="A3916" s="626"/>
      <c r="B3916" s="637"/>
      <c r="C3916" s="637"/>
      <c r="D3916" s="637"/>
      <c r="E3916" s="637"/>
      <c r="F3916" s="637"/>
      <c r="G3916" s="637"/>
      <c r="H3916" s="637"/>
      <c r="I3916" s="637"/>
      <c r="J3916" s="637"/>
    </row>
    <row r="3917" spans="1:10" x14ac:dyDescent="0.2">
      <c r="A3917" s="626"/>
      <c r="B3917" s="637"/>
      <c r="C3917" s="637"/>
      <c r="D3917" s="637"/>
      <c r="E3917" s="637"/>
      <c r="F3917" s="637"/>
      <c r="G3917" s="637"/>
      <c r="H3917" s="637"/>
      <c r="I3917" s="637"/>
      <c r="J3917" s="637"/>
    </row>
    <row r="3918" spans="1:10" x14ac:dyDescent="0.2">
      <c r="A3918" s="626"/>
      <c r="B3918" s="637"/>
      <c r="C3918" s="637"/>
      <c r="D3918" s="637"/>
      <c r="E3918" s="637"/>
      <c r="F3918" s="637"/>
      <c r="G3918" s="637"/>
      <c r="H3918" s="637"/>
      <c r="I3918" s="637"/>
      <c r="J3918" s="637"/>
    </row>
    <row r="3919" spans="1:10" x14ac:dyDescent="0.2">
      <c r="A3919" s="626"/>
      <c r="B3919" s="637"/>
      <c r="C3919" s="637"/>
      <c r="D3919" s="637"/>
      <c r="E3919" s="637"/>
      <c r="F3919" s="637"/>
      <c r="G3919" s="637"/>
      <c r="H3919" s="637"/>
      <c r="I3919" s="637"/>
      <c r="J3919" s="637"/>
    </row>
    <row r="3920" spans="1:10" x14ac:dyDescent="0.2">
      <c r="A3920" s="626"/>
      <c r="B3920" s="637"/>
      <c r="C3920" s="637"/>
      <c r="D3920" s="637"/>
      <c r="E3920" s="637"/>
      <c r="F3920" s="637"/>
      <c r="G3920" s="637"/>
      <c r="H3920" s="637"/>
      <c r="I3920" s="637"/>
      <c r="J3920" s="637"/>
    </row>
    <row r="3921" spans="1:10" x14ac:dyDescent="0.2">
      <c r="A3921" s="626"/>
      <c r="B3921" s="637"/>
      <c r="C3921" s="637"/>
      <c r="D3921" s="637"/>
      <c r="E3921" s="637"/>
      <c r="F3921" s="637"/>
      <c r="G3921" s="637"/>
      <c r="H3921" s="637"/>
      <c r="I3921" s="637"/>
      <c r="J3921" s="637"/>
    </row>
    <row r="3922" spans="1:10" x14ac:dyDescent="0.2">
      <c r="A3922" s="626"/>
      <c r="B3922" s="637"/>
      <c r="C3922" s="637"/>
      <c r="D3922" s="637"/>
      <c r="E3922" s="637"/>
      <c r="F3922" s="637"/>
      <c r="G3922" s="637"/>
      <c r="H3922" s="637"/>
      <c r="I3922" s="637"/>
      <c r="J3922" s="637"/>
    </row>
    <row r="3923" spans="1:10" x14ac:dyDescent="0.2">
      <c r="A3923" s="626"/>
      <c r="B3923" s="637"/>
      <c r="C3923" s="637"/>
      <c r="D3923" s="637"/>
      <c r="E3923" s="637"/>
      <c r="F3923" s="637"/>
      <c r="G3923" s="637"/>
      <c r="H3923" s="637"/>
      <c r="I3923" s="637"/>
      <c r="J3923" s="637"/>
    </row>
    <row r="3924" spans="1:10" x14ac:dyDescent="0.2">
      <c r="A3924" s="626"/>
      <c r="B3924" s="637"/>
      <c r="C3924" s="637"/>
      <c r="D3924" s="637"/>
      <c r="E3924" s="637"/>
      <c r="F3924" s="637"/>
      <c r="G3924" s="637"/>
      <c r="H3924" s="637"/>
      <c r="I3924" s="637"/>
      <c r="J3924" s="637"/>
    </row>
    <row r="3925" spans="1:10" x14ac:dyDescent="0.2">
      <c r="A3925" s="626"/>
      <c r="B3925" s="637"/>
      <c r="C3925" s="637"/>
      <c r="D3925" s="637"/>
      <c r="E3925" s="637"/>
      <c r="F3925" s="637"/>
      <c r="G3925" s="637"/>
      <c r="H3925" s="637"/>
      <c r="I3925" s="637"/>
      <c r="J3925" s="637"/>
    </row>
    <row r="3926" spans="1:10" x14ac:dyDescent="0.2">
      <c r="A3926" s="626"/>
      <c r="B3926" s="637"/>
      <c r="C3926" s="637"/>
      <c r="D3926" s="637"/>
      <c r="E3926" s="637"/>
      <c r="F3926" s="637"/>
      <c r="G3926" s="637"/>
      <c r="H3926" s="637"/>
      <c r="I3926" s="637"/>
      <c r="J3926" s="637"/>
    </row>
    <row r="3927" spans="1:10" x14ac:dyDescent="0.2">
      <c r="A3927" s="626"/>
      <c r="B3927" s="637"/>
      <c r="C3927" s="637"/>
      <c r="D3927" s="637"/>
      <c r="E3927" s="637"/>
      <c r="F3927" s="637"/>
      <c r="G3927" s="637"/>
      <c r="H3927" s="637"/>
      <c r="I3927" s="637"/>
      <c r="J3927" s="637"/>
    </row>
    <row r="3928" spans="1:10" x14ac:dyDescent="0.2">
      <c r="A3928" s="626"/>
      <c r="B3928" s="637"/>
      <c r="C3928" s="637"/>
      <c r="D3928" s="637"/>
      <c r="E3928" s="637"/>
      <c r="F3928" s="637"/>
      <c r="G3928" s="637"/>
      <c r="H3928" s="637"/>
      <c r="I3928" s="637"/>
      <c r="J3928" s="637"/>
    </row>
    <row r="3929" spans="1:10" x14ac:dyDescent="0.2">
      <c r="A3929" s="626"/>
      <c r="B3929" s="637"/>
      <c r="C3929" s="637"/>
      <c r="D3929" s="637"/>
      <c r="E3929" s="637"/>
      <c r="F3929" s="637"/>
      <c r="G3929" s="637"/>
      <c r="H3929" s="637"/>
      <c r="I3929" s="637"/>
      <c r="J3929" s="637"/>
    </row>
    <row r="3930" spans="1:10" x14ac:dyDescent="0.2">
      <c r="A3930" s="626"/>
      <c r="B3930" s="637"/>
      <c r="C3930" s="637"/>
      <c r="D3930" s="637"/>
      <c r="E3930" s="637"/>
      <c r="F3930" s="637"/>
      <c r="G3930" s="637"/>
      <c r="H3930" s="637"/>
      <c r="I3930" s="637"/>
      <c r="J3930" s="637"/>
    </row>
    <row r="3931" spans="1:10" x14ac:dyDescent="0.2">
      <c r="A3931" s="626"/>
      <c r="B3931" s="637"/>
      <c r="C3931" s="637"/>
      <c r="D3931" s="637"/>
      <c r="E3931" s="637"/>
      <c r="F3931" s="637"/>
      <c r="G3931" s="637"/>
      <c r="H3931" s="637"/>
      <c r="I3931" s="637"/>
      <c r="J3931" s="637"/>
    </row>
    <row r="3932" spans="1:10" x14ac:dyDescent="0.2">
      <c r="A3932" s="626"/>
      <c r="B3932" s="637"/>
      <c r="C3932" s="637"/>
      <c r="D3932" s="637"/>
      <c r="E3932" s="637"/>
      <c r="F3932" s="637"/>
      <c r="G3932" s="637"/>
      <c r="H3932" s="637"/>
      <c r="I3932" s="637"/>
      <c r="J3932" s="637"/>
    </row>
    <row r="3933" spans="1:10" x14ac:dyDescent="0.2">
      <c r="A3933" s="626"/>
      <c r="B3933" s="637"/>
      <c r="C3933" s="637"/>
      <c r="D3933" s="637"/>
      <c r="E3933" s="637"/>
      <c r="F3933" s="637"/>
      <c r="G3933" s="637"/>
      <c r="H3933" s="637"/>
      <c r="I3933" s="637"/>
      <c r="J3933" s="637"/>
    </row>
    <row r="3934" spans="1:10" x14ac:dyDescent="0.2">
      <c r="A3934" s="626"/>
      <c r="B3934" s="637"/>
      <c r="C3934" s="637"/>
      <c r="D3934" s="637"/>
      <c r="E3934" s="637"/>
      <c r="F3934" s="637"/>
      <c r="G3934" s="637"/>
      <c r="H3934" s="637"/>
      <c r="I3934" s="637"/>
      <c r="J3934" s="637"/>
    </row>
    <row r="3935" spans="1:10" x14ac:dyDescent="0.2">
      <c r="A3935" s="626"/>
      <c r="B3935" s="637"/>
      <c r="C3935" s="637"/>
      <c r="D3935" s="637"/>
      <c r="E3935" s="637"/>
      <c r="F3935" s="637"/>
      <c r="G3935" s="637"/>
      <c r="H3935" s="637"/>
      <c r="I3935" s="637"/>
      <c r="J3935" s="637"/>
    </row>
    <row r="3936" spans="1:10" x14ac:dyDescent="0.2">
      <c r="A3936" s="626"/>
      <c r="B3936" s="637"/>
      <c r="C3936" s="637"/>
      <c r="D3936" s="637"/>
      <c r="E3936" s="637"/>
      <c r="F3936" s="637"/>
      <c r="G3936" s="637"/>
      <c r="H3936" s="637"/>
      <c r="I3936" s="637"/>
      <c r="J3936" s="637"/>
    </row>
    <row r="3937" spans="1:10" x14ac:dyDescent="0.2">
      <c r="A3937" s="626"/>
      <c r="B3937" s="637"/>
      <c r="C3937" s="637"/>
      <c r="D3937" s="637"/>
      <c r="E3937" s="637"/>
      <c r="F3937" s="637"/>
      <c r="G3937" s="637"/>
      <c r="H3937" s="637"/>
      <c r="I3937" s="637"/>
      <c r="J3937" s="637"/>
    </row>
    <row r="3938" spans="1:10" x14ac:dyDescent="0.2">
      <c r="A3938" s="626"/>
      <c r="B3938" s="637"/>
      <c r="C3938" s="637"/>
      <c r="D3938" s="637"/>
      <c r="E3938" s="637"/>
      <c r="F3938" s="637"/>
      <c r="G3938" s="637"/>
      <c r="H3938" s="637"/>
      <c r="I3938" s="637"/>
      <c r="J3938" s="637"/>
    </row>
    <row r="3939" spans="1:10" x14ac:dyDescent="0.2">
      <c r="A3939" s="626"/>
      <c r="B3939" s="637"/>
      <c r="C3939" s="637"/>
      <c r="D3939" s="637"/>
      <c r="E3939" s="637"/>
      <c r="F3939" s="637"/>
      <c r="G3939" s="637"/>
      <c r="H3939" s="637"/>
      <c r="I3939" s="637"/>
      <c r="J3939" s="637"/>
    </row>
    <row r="3940" spans="1:10" x14ac:dyDescent="0.2">
      <c r="A3940" s="626"/>
      <c r="B3940" s="637"/>
      <c r="C3940" s="637"/>
      <c r="D3940" s="637"/>
      <c r="E3940" s="637"/>
      <c r="F3940" s="637"/>
      <c r="G3940" s="637"/>
      <c r="H3940" s="637"/>
      <c r="I3940" s="637"/>
      <c r="J3940" s="637"/>
    </row>
    <row r="3941" spans="1:10" x14ac:dyDescent="0.2">
      <c r="A3941" s="626"/>
      <c r="B3941" s="637"/>
      <c r="C3941" s="637"/>
      <c r="D3941" s="637"/>
      <c r="E3941" s="637"/>
      <c r="F3941" s="637"/>
      <c r="G3941" s="637"/>
      <c r="H3941" s="637"/>
      <c r="I3941" s="637"/>
      <c r="J3941" s="637"/>
    </row>
    <row r="3942" spans="1:10" x14ac:dyDescent="0.2">
      <c r="A3942" s="626"/>
      <c r="B3942" s="637"/>
      <c r="C3942" s="637"/>
      <c r="D3942" s="637"/>
      <c r="E3942" s="637"/>
      <c r="F3942" s="637"/>
      <c r="G3942" s="637"/>
      <c r="H3942" s="637"/>
      <c r="I3942" s="637"/>
      <c r="J3942" s="637"/>
    </row>
    <row r="3943" spans="1:10" x14ac:dyDescent="0.2">
      <c r="A3943" s="626"/>
      <c r="B3943" s="637"/>
      <c r="C3943" s="637"/>
      <c r="D3943" s="637"/>
      <c r="E3943" s="637"/>
      <c r="F3943" s="637"/>
      <c r="G3943" s="637"/>
      <c r="H3943" s="637"/>
      <c r="I3943" s="637"/>
      <c r="J3943" s="637"/>
    </row>
    <row r="3944" spans="1:10" x14ac:dyDescent="0.2">
      <c r="A3944" s="626"/>
      <c r="B3944" s="637"/>
      <c r="C3944" s="637"/>
      <c r="D3944" s="637"/>
      <c r="E3944" s="637"/>
      <c r="F3944" s="637"/>
      <c r="G3944" s="637"/>
      <c r="H3944" s="637"/>
      <c r="I3944" s="637"/>
      <c r="J3944" s="637"/>
    </row>
    <row r="3945" spans="1:10" x14ac:dyDescent="0.2">
      <c r="A3945" s="626"/>
      <c r="B3945" s="637"/>
      <c r="C3945" s="637"/>
      <c r="D3945" s="637"/>
      <c r="E3945" s="637"/>
      <c r="F3945" s="637"/>
      <c r="G3945" s="637"/>
      <c r="H3945" s="637"/>
      <c r="I3945" s="637"/>
      <c r="J3945" s="637"/>
    </row>
    <row r="3946" spans="1:10" x14ac:dyDescent="0.2">
      <c r="A3946" s="626"/>
      <c r="B3946" s="637"/>
      <c r="C3946" s="637"/>
      <c r="D3946" s="637"/>
      <c r="E3946" s="637"/>
      <c r="F3946" s="637"/>
      <c r="G3946" s="637"/>
      <c r="H3946" s="637"/>
      <c r="I3946" s="637"/>
      <c r="J3946" s="637"/>
    </row>
    <row r="3947" spans="1:10" x14ac:dyDescent="0.2">
      <c r="A3947" s="626"/>
      <c r="B3947" s="637"/>
      <c r="C3947" s="637"/>
      <c r="D3947" s="637"/>
      <c r="E3947" s="637"/>
      <c r="F3947" s="637"/>
      <c r="G3947" s="637"/>
      <c r="H3947" s="637"/>
      <c r="I3947" s="637"/>
      <c r="J3947" s="637"/>
    </row>
    <row r="3948" spans="1:10" x14ac:dyDescent="0.2">
      <c r="A3948" s="626"/>
      <c r="B3948" s="637"/>
      <c r="C3948" s="637"/>
      <c r="D3948" s="637"/>
      <c r="E3948" s="637"/>
      <c r="F3948" s="637"/>
      <c r="G3948" s="637"/>
      <c r="H3948" s="637"/>
      <c r="I3948" s="637"/>
      <c r="J3948" s="637"/>
    </row>
    <row r="3949" spans="1:10" x14ac:dyDescent="0.2">
      <c r="A3949" s="626"/>
      <c r="B3949" s="637"/>
      <c r="C3949" s="637"/>
      <c r="D3949" s="637"/>
      <c r="E3949" s="637"/>
      <c r="F3949" s="637"/>
      <c r="G3949" s="637"/>
      <c r="H3949" s="637"/>
      <c r="I3949" s="637"/>
      <c r="J3949" s="637"/>
    </row>
    <row r="3950" spans="1:10" x14ac:dyDescent="0.2">
      <c r="A3950" s="626"/>
      <c r="B3950" s="637"/>
      <c r="C3950" s="637"/>
      <c r="D3950" s="637"/>
      <c r="E3950" s="637"/>
      <c r="F3950" s="637"/>
      <c r="G3950" s="637"/>
      <c r="H3950" s="637"/>
      <c r="I3950" s="637"/>
      <c r="J3950" s="637"/>
    </row>
    <row r="3951" spans="1:10" x14ac:dyDescent="0.2">
      <c r="A3951" s="626"/>
      <c r="B3951" s="637"/>
      <c r="C3951" s="637"/>
      <c r="D3951" s="637"/>
      <c r="E3951" s="637"/>
      <c r="F3951" s="637"/>
      <c r="G3951" s="637"/>
      <c r="H3951" s="637"/>
      <c r="I3951" s="637"/>
      <c r="J3951" s="637"/>
    </row>
    <row r="3952" spans="1:10" x14ac:dyDescent="0.2">
      <c r="A3952" s="626"/>
      <c r="B3952" s="637"/>
      <c r="C3952" s="637"/>
      <c r="D3952" s="637"/>
      <c r="E3952" s="637"/>
      <c r="F3952" s="637"/>
      <c r="G3952" s="637"/>
      <c r="H3952" s="637"/>
      <c r="I3952" s="637"/>
      <c r="J3952" s="637"/>
    </row>
    <row r="3953" spans="1:10" x14ac:dyDescent="0.2">
      <c r="A3953" s="626"/>
      <c r="B3953" s="637"/>
      <c r="C3953" s="637"/>
      <c r="D3953" s="637"/>
      <c r="E3953" s="637"/>
      <c r="F3953" s="637"/>
      <c r="G3953" s="637"/>
      <c r="H3953" s="637"/>
      <c r="I3953" s="637"/>
      <c r="J3953" s="637"/>
    </row>
    <row r="3954" spans="1:10" x14ac:dyDescent="0.2">
      <c r="A3954" s="626"/>
      <c r="B3954" s="637"/>
      <c r="C3954" s="637"/>
      <c r="D3954" s="637"/>
      <c r="E3954" s="637"/>
      <c r="F3954" s="637"/>
      <c r="G3954" s="637"/>
      <c r="H3954" s="637"/>
      <c r="I3954" s="637"/>
      <c r="J3954" s="637"/>
    </row>
    <row r="3955" spans="1:10" x14ac:dyDescent="0.2">
      <c r="A3955" s="626"/>
      <c r="B3955" s="637"/>
      <c r="C3955" s="637"/>
      <c r="D3955" s="637"/>
      <c r="E3955" s="637"/>
      <c r="F3955" s="637"/>
      <c r="G3955" s="637"/>
      <c r="H3955" s="637"/>
      <c r="I3955" s="637"/>
      <c r="J3955" s="637"/>
    </row>
    <row r="3956" spans="1:10" x14ac:dyDescent="0.2">
      <c r="A3956" s="626"/>
      <c r="B3956" s="637"/>
      <c r="C3956" s="637"/>
      <c r="D3956" s="637"/>
      <c r="E3956" s="637"/>
      <c r="F3956" s="637"/>
      <c r="G3956" s="637"/>
      <c r="H3956" s="637"/>
      <c r="I3956" s="637"/>
      <c r="J3956" s="637"/>
    </row>
    <row r="3957" spans="1:10" x14ac:dyDescent="0.2">
      <c r="A3957" s="626"/>
      <c r="B3957" s="637"/>
      <c r="C3957" s="637"/>
      <c r="D3957" s="637"/>
      <c r="E3957" s="637"/>
      <c r="F3957" s="637"/>
      <c r="G3957" s="637"/>
      <c r="H3957" s="637"/>
      <c r="I3957" s="637"/>
      <c r="J3957" s="637"/>
    </row>
    <row r="3958" spans="1:10" x14ac:dyDescent="0.2">
      <c r="A3958" s="626"/>
      <c r="B3958" s="637"/>
      <c r="C3958" s="637"/>
      <c r="D3958" s="637"/>
      <c r="E3958" s="637"/>
      <c r="F3958" s="637"/>
      <c r="G3958" s="637"/>
      <c r="H3958" s="637"/>
      <c r="I3958" s="637"/>
      <c r="J3958" s="637"/>
    </row>
    <row r="3959" spans="1:10" x14ac:dyDescent="0.2">
      <c r="A3959" s="626"/>
      <c r="B3959" s="637"/>
      <c r="C3959" s="637"/>
      <c r="D3959" s="637"/>
      <c r="E3959" s="637"/>
      <c r="F3959" s="637"/>
      <c r="G3959" s="637"/>
      <c r="H3959" s="637"/>
      <c r="I3959" s="637"/>
      <c r="J3959" s="637"/>
    </row>
    <row r="3960" spans="1:10" x14ac:dyDescent="0.2">
      <c r="A3960" s="626"/>
      <c r="B3960" s="637"/>
      <c r="C3960" s="637"/>
      <c r="D3960" s="637"/>
      <c r="E3960" s="637"/>
      <c r="F3960" s="637"/>
      <c r="G3960" s="637"/>
      <c r="H3960" s="637"/>
      <c r="I3960" s="637"/>
      <c r="J3960" s="637"/>
    </row>
    <row r="3961" spans="1:10" x14ac:dyDescent="0.2">
      <c r="A3961" s="626"/>
      <c r="B3961" s="637"/>
      <c r="C3961" s="637"/>
      <c r="D3961" s="637"/>
      <c r="E3961" s="637"/>
      <c r="F3961" s="637"/>
      <c r="G3961" s="637"/>
      <c r="H3961" s="637"/>
      <c r="I3961" s="637"/>
      <c r="J3961" s="637"/>
    </row>
    <row r="3962" spans="1:10" x14ac:dyDescent="0.2">
      <c r="A3962" s="626"/>
      <c r="B3962" s="637"/>
      <c r="C3962" s="637"/>
      <c r="D3962" s="637"/>
      <c r="E3962" s="637"/>
      <c r="F3962" s="637"/>
      <c r="G3962" s="637"/>
      <c r="H3962" s="637"/>
      <c r="I3962" s="637"/>
      <c r="J3962" s="637"/>
    </row>
    <row r="3963" spans="1:10" x14ac:dyDescent="0.2">
      <c r="A3963" s="626"/>
      <c r="B3963" s="637"/>
      <c r="C3963" s="637"/>
      <c r="D3963" s="637"/>
      <c r="E3963" s="637"/>
      <c r="F3963" s="637"/>
      <c r="G3963" s="637"/>
      <c r="H3963" s="637"/>
      <c r="I3963" s="637"/>
      <c r="J3963" s="637"/>
    </row>
    <row r="3964" spans="1:10" x14ac:dyDescent="0.2">
      <c r="A3964" s="626"/>
      <c r="B3964" s="637"/>
      <c r="C3964" s="637"/>
      <c r="D3964" s="637"/>
      <c r="E3964" s="637"/>
      <c r="F3964" s="637"/>
      <c r="G3964" s="637"/>
      <c r="H3964" s="637"/>
      <c r="I3964" s="637"/>
      <c r="J3964" s="637"/>
    </row>
    <row r="3965" spans="1:10" x14ac:dyDescent="0.2">
      <c r="A3965" s="626"/>
      <c r="B3965" s="637"/>
      <c r="C3965" s="637"/>
      <c r="D3965" s="637"/>
      <c r="E3965" s="637"/>
      <c r="F3965" s="637"/>
      <c r="G3965" s="637"/>
      <c r="H3965" s="637"/>
      <c r="I3965" s="637"/>
      <c r="J3965" s="637"/>
    </row>
    <row r="3966" spans="1:10" x14ac:dyDescent="0.2">
      <c r="A3966" s="626"/>
      <c r="B3966" s="637"/>
      <c r="C3966" s="637"/>
      <c r="D3966" s="637"/>
      <c r="E3966" s="637"/>
      <c r="F3966" s="637"/>
      <c r="G3966" s="637"/>
      <c r="H3966" s="637"/>
      <c r="I3966" s="637"/>
      <c r="J3966" s="637"/>
    </row>
    <row r="3967" spans="1:10" x14ac:dyDescent="0.2">
      <c r="A3967" s="626"/>
      <c r="B3967" s="637"/>
      <c r="C3967" s="637"/>
      <c r="D3967" s="637"/>
      <c r="E3967" s="637"/>
      <c r="F3967" s="637"/>
      <c r="G3967" s="637"/>
      <c r="H3967" s="637"/>
      <c r="I3967" s="637"/>
      <c r="J3967" s="637"/>
    </row>
    <row r="3968" spans="1:10" x14ac:dyDescent="0.2">
      <c r="A3968" s="626"/>
      <c r="B3968" s="637"/>
      <c r="C3968" s="637"/>
      <c r="D3968" s="637"/>
      <c r="E3968" s="637"/>
      <c r="F3968" s="637"/>
      <c r="G3968" s="637"/>
      <c r="H3968" s="637"/>
      <c r="I3968" s="637"/>
      <c r="J3968" s="637"/>
    </row>
    <row r="3969" spans="1:10" x14ac:dyDescent="0.2">
      <c r="A3969" s="626"/>
      <c r="B3969" s="637"/>
      <c r="C3969" s="637"/>
      <c r="D3969" s="637"/>
      <c r="E3969" s="637"/>
      <c r="F3969" s="637"/>
      <c r="G3969" s="637"/>
      <c r="H3969" s="637"/>
      <c r="I3969" s="637"/>
      <c r="J3969" s="637"/>
    </row>
    <row r="3970" spans="1:10" x14ac:dyDescent="0.2">
      <c r="A3970" s="626"/>
      <c r="B3970" s="637"/>
      <c r="C3970" s="637"/>
      <c r="D3970" s="637"/>
      <c r="E3970" s="637"/>
      <c r="F3970" s="637"/>
      <c r="G3970" s="637"/>
      <c r="H3970" s="637"/>
      <c r="I3970" s="637"/>
      <c r="J3970" s="637"/>
    </row>
    <row r="3971" spans="1:10" x14ac:dyDescent="0.2">
      <c r="A3971" s="626"/>
      <c r="B3971" s="637"/>
      <c r="C3971" s="637"/>
      <c r="D3971" s="637"/>
      <c r="E3971" s="637"/>
      <c r="F3971" s="637"/>
      <c r="G3971" s="637"/>
      <c r="H3971" s="637"/>
      <c r="I3971" s="637"/>
      <c r="J3971" s="637"/>
    </row>
    <row r="3972" spans="1:10" x14ac:dyDescent="0.2">
      <c r="A3972" s="626"/>
      <c r="B3972" s="637"/>
      <c r="C3972" s="637"/>
      <c r="D3972" s="637"/>
      <c r="E3972" s="637"/>
      <c r="F3972" s="637"/>
      <c r="G3972" s="637"/>
      <c r="H3972" s="637"/>
      <c r="I3972" s="637"/>
      <c r="J3972" s="637"/>
    </row>
    <row r="3973" spans="1:10" x14ac:dyDescent="0.2">
      <c r="A3973" s="626"/>
      <c r="B3973" s="637"/>
      <c r="C3973" s="637"/>
      <c r="D3973" s="637"/>
      <c r="E3973" s="637"/>
      <c r="F3973" s="637"/>
      <c r="G3973" s="637"/>
      <c r="H3973" s="637"/>
      <c r="I3973" s="637"/>
      <c r="J3973" s="637"/>
    </row>
    <row r="3974" spans="1:10" x14ac:dyDescent="0.2">
      <c r="A3974" s="626"/>
      <c r="B3974" s="637"/>
      <c r="C3974" s="637"/>
      <c r="D3974" s="637"/>
      <c r="E3974" s="637"/>
      <c r="F3974" s="637"/>
      <c r="G3974" s="637"/>
      <c r="H3974" s="637"/>
      <c r="I3974" s="637"/>
      <c r="J3974" s="637"/>
    </row>
    <row r="3975" spans="1:10" x14ac:dyDescent="0.2">
      <c r="A3975" s="626"/>
      <c r="B3975" s="637"/>
      <c r="C3975" s="637"/>
      <c r="D3975" s="637"/>
      <c r="E3975" s="637"/>
      <c r="F3975" s="637"/>
      <c r="G3975" s="637"/>
      <c r="H3975" s="637"/>
      <c r="I3975" s="637"/>
      <c r="J3975" s="637"/>
    </row>
    <row r="3976" spans="1:10" x14ac:dyDescent="0.2">
      <c r="A3976" s="626"/>
      <c r="B3976" s="637"/>
      <c r="C3976" s="637"/>
      <c r="D3976" s="637"/>
      <c r="E3976" s="637"/>
      <c r="F3976" s="637"/>
      <c r="G3976" s="637"/>
      <c r="H3976" s="637"/>
      <c r="I3976" s="637"/>
      <c r="J3976" s="637"/>
    </row>
    <row r="3977" spans="1:10" x14ac:dyDescent="0.2">
      <c r="A3977" s="626"/>
      <c r="B3977" s="637"/>
      <c r="C3977" s="637"/>
      <c r="D3977" s="637"/>
      <c r="E3977" s="637"/>
      <c r="F3977" s="637"/>
      <c r="G3977" s="637"/>
      <c r="H3977" s="637"/>
      <c r="I3977" s="637"/>
      <c r="J3977" s="637"/>
    </row>
    <row r="3978" spans="1:10" x14ac:dyDescent="0.2">
      <c r="A3978" s="626"/>
      <c r="B3978" s="637"/>
      <c r="C3978" s="637"/>
      <c r="D3978" s="637"/>
      <c r="E3978" s="637"/>
      <c r="F3978" s="637"/>
      <c r="G3978" s="637"/>
      <c r="H3978" s="637"/>
      <c r="I3978" s="637"/>
      <c r="J3978" s="637"/>
    </row>
    <row r="3979" spans="1:10" x14ac:dyDescent="0.2">
      <c r="A3979" s="626"/>
      <c r="B3979" s="637"/>
      <c r="C3979" s="637"/>
      <c r="D3979" s="637"/>
      <c r="E3979" s="637"/>
      <c r="F3979" s="637"/>
      <c r="G3979" s="637"/>
      <c r="H3979" s="637"/>
      <c r="I3979" s="637"/>
      <c r="J3979" s="637"/>
    </row>
    <row r="3980" spans="1:10" x14ac:dyDescent="0.2">
      <c r="A3980" s="626"/>
      <c r="B3980" s="637"/>
      <c r="C3980" s="637"/>
      <c r="D3980" s="637"/>
      <c r="E3980" s="637"/>
      <c r="F3980" s="637"/>
      <c r="G3980" s="637"/>
      <c r="H3980" s="637"/>
      <c r="I3980" s="637"/>
      <c r="J3980" s="637"/>
    </row>
    <row r="3981" spans="1:10" x14ac:dyDescent="0.2">
      <c r="A3981" s="626"/>
      <c r="B3981" s="637"/>
      <c r="C3981" s="637"/>
      <c r="D3981" s="637"/>
      <c r="E3981" s="637"/>
      <c r="F3981" s="637"/>
      <c r="G3981" s="637"/>
      <c r="H3981" s="637"/>
      <c r="I3981" s="637"/>
      <c r="J3981" s="637"/>
    </row>
    <row r="3982" spans="1:10" x14ac:dyDescent="0.2">
      <c r="A3982" s="626"/>
      <c r="B3982" s="637"/>
      <c r="C3982" s="637"/>
      <c r="D3982" s="637"/>
      <c r="E3982" s="637"/>
      <c r="F3982" s="637"/>
      <c r="G3982" s="637"/>
      <c r="H3982" s="637"/>
      <c r="I3982" s="637"/>
      <c r="J3982" s="637"/>
    </row>
    <row r="3983" spans="1:10" x14ac:dyDescent="0.2">
      <c r="A3983" s="626"/>
      <c r="B3983" s="637"/>
      <c r="C3983" s="637"/>
      <c r="D3983" s="637"/>
      <c r="E3983" s="637"/>
      <c r="F3983" s="637"/>
      <c r="G3983" s="637"/>
      <c r="H3983" s="637"/>
      <c r="I3983" s="637"/>
      <c r="J3983" s="637"/>
    </row>
    <row r="3984" spans="1:10" x14ac:dyDescent="0.2">
      <c r="A3984" s="626"/>
      <c r="B3984" s="637"/>
      <c r="C3984" s="637"/>
      <c r="D3984" s="637"/>
      <c r="E3984" s="637"/>
      <c r="F3984" s="637"/>
      <c r="G3984" s="637"/>
      <c r="H3984" s="637"/>
      <c r="I3984" s="637"/>
      <c r="J3984" s="637"/>
    </row>
    <row r="3985" spans="1:10" x14ac:dyDescent="0.2">
      <c r="A3985" s="626"/>
      <c r="B3985" s="637"/>
      <c r="C3985" s="637"/>
      <c r="D3985" s="637"/>
      <c r="E3985" s="637"/>
      <c r="F3985" s="637"/>
      <c r="G3985" s="637"/>
      <c r="H3985" s="637"/>
      <c r="I3985" s="637"/>
      <c r="J3985" s="637"/>
    </row>
    <row r="3986" spans="1:10" x14ac:dyDescent="0.2">
      <c r="A3986" s="626"/>
      <c r="B3986" s="637"/>
      <c r="C3986" s="637"/>
      <c r="D3986" s="637"/>
      <c r="E3986" s="637"/>
      <c r="F3986" s="637"/>
      <c r="G3986" s="637"/>
      <c r="H3986" s="637"/>
      <c r="I3986" s="637"/>
      <c r="J3986" s="637"/>
    </row>
    <row r="3987" spans="1:10" x14ac:dyDescent="0.2">
      <c r="A3987" s="626"/>
      <c r="B3987" s="637"/>
      <c r="C3987" s="637"/>
      <c r="D3987" s="637"/>
      <c r="E3987" s="637"/>
      <c r="F3987" s="637"/>
      <c r="G3987" s="637"/>
      <c r="H3987" s="637"/>
      <c r="I3987" s="637"/>
      <c r="J3987" s="637"/>
    </row>
    <row r="3988" spans="1:10" x14ac:dyDescent="0.2">
      <c r="A3988" s="626"/>
      <c r="B3988" s="637"/>
      <c r="C3988" s="637"/>
      <c r="D3988" s="637"/>
      <c r="E3988" s="637"/>
      <c r="F3988" s="637"/>
      <c r="G3988" s="637"/>
      <c r="H3988" s="637"/>
      <c r="I3988" s="637"/>
      <c r="J3988" s="637"/>
    </row>
    <row r="3989" spans="1:10" x14ac:dyDescent="0.2">
      <c r="A3989" s="626"/>
      <c r="B3989" s="637"/>
      <c r="C3989" s="637"/>
      <c r="D3989" s="637"/>
      <c r="E3989" s="637"/>
      <c r="F3989" s="637"/>
      <c r="G3989" s="637"/>
      <c r="H3989" s="637"/>
      <c r="I3989" s="637"/>
      <c r="J3989" s="637"/>
    </row>
    <row r="3990" spans="1:10" x14ac:dyDescent="0.2">
      <c r="A3990" s="626"/>
      <c r="B3990" s="637"/>
      <c r="C3990" s="637"/>
      <c r="D3990" s="637"/>
      <c r="E3990" s="637"/>
      <c r="F3990" s="637"/>
      <c r="G3990" s="637"/>
      <c r="H3990" s="637"/>
      <c r="I3990" s="637"/>
      <c r="J3990" s="637"/>
    </row>
    <row r="3991" spans="1:10" x14ac:dyDescent="0.2">
      <c r="A3991" s="626"/>
      <c r="B3991" s="637"/>
      <c r="C3991" s="637"/>
      <c r="D3991" s="637"/>
      <c r="E3991" s="637"/>
      <c r="F3991" s="637"/>
      <c r="G3991" s="637"/>
      <c r="H3991" s="637"/>
      <c r="I3991" s="637"/>
      <c r="J3991" s="637"/>
    </row>
    <row r="3992" spans="1:10" x14ac:dyDescent="0.2">
      <c r="A3992" s="626"/>
      <c r="B3992" s="637"/>
      <c r="C3992" s="637"/>
      <c r="D3992" s="637"/>
      <c r="E3992" s="637"/>
      <c r="F3992" s="637"/>
      <c r="G3992" s="637"/>
      <c r="H3992" s="637"/>
      <c r="I3992" s="637"/>
      <c r="J3992" s="637"/>
    </row>
    <row r="3993" spans="1:10" x14ac:dyDescent="0.2">
      <c r="A3993" s="626"/>
      <c r="B3993" s="637"/>
      <c r="C3993" s="637"/>
      <c r="D3993" s="637"/>
      <c r="E3993" s="637"/>
      <c r="F3993" s="637"/>
      <c r="G3993" s="637"/>
      <c r="H3993" s="637"/>
      <c r="I3993" s="637"/>
      <c r="J3993" s="637"/>
    </row>
    <row r="3994" spans="1:10" x14ac:dyDescent="0.2">
      <c r="A3994" s="626"/>
      <c r="B3994" s="637"/>
      <c r="C3994" s="637"/>
      <c r="D3994" s="637"/>
      <c r="E3994" s="637"/>
      <c r="F3994" s="637"/>
      <c r="G3994" s="637"/>
      <c r="H3994" s="637"/>
      <c r="I3994" s="637"/>
      <c r="J3994" s="637"/>
    </row>
    <row r="3995" spans="1:10" x14ac:dyDescent="0.2">
      <c r="A3995" s="626"/>
      <c r="B3995" s="637"/>
      <c r="C3995" s="637"/>
      <c r="D3995" s="637"/>
      <c r="E3995" s="637"/>
      <c r="F3995" s="637"/>
      <c r="G3995" s="637"/>
      <c r="H3995" s="637"/>
      <c r="I3995" s="637"/>
      <c r="J3995" s="637"/>
    </row>
    <row r="3996" spans="1:10" x14ac:dyDescent="0.2">
      <c r="A3996" s="626"/>
      <c r="B3996" s="637"/>
      <c r="C3996" s="637"/>
      <c r="D3996" s="637"/>
      <c r="E3996" s="637"/>
      <c r="F3996" s="637"/>
      <c r="G3996" s="637"/>
      <c r="H3996" s="637"/>
      <c r="I3996" s="637"/>
      <c r="J3996" s="637"/>
    </row>
    <row r="3997" spans="1:10" x14ac:dyDescent="0.2">
      <c r="A3997" s="626"/>
      <c r="B3997" s="637"/>
      <c r="C3997" s="637"/>
      <c r="D3997" s="637"/>
      <c r="E3997" s="637"/>
      <c r="F3997" s="637"/>
      <c r="G3997" s="637"/>
      <c r="H3997" s="637"/>
      <c r="I3997" s="637"/>
      <c r="J3997" s="637"/>
    </row>
    <row r="3998" spans="1:10" x14ac:dyDescent="0.2">
      <c r="A3998" s="626"/>
      <c r="B3998" s="637"/>
      <c r="C3998" s="637"/>
      <c r="D3998" s="637"/>
      <c r="E3998" s="637"/>
      <c r="F3998" s="637"/>
      <c r="G3998" s="637"/>
      <c r="H3998" s="637"/>
      <c r="I3998" s="637"/>
      <c r="J3998" s="637"/>
    </row>
    <row r="3999" spans="1:10" x14ac:dyDescent="0.2">
      <c r="A3999" s="626"/>
      <c r="B3999" s="637"/>
      <c r="C3999" s="637"/>
      <c r="D3999" s="637"/>
      <c r="E3999" s="637"/>
      <c r="F3999" s="637"/>
      <c r="G3999" s="637"/>
      <c r="H3999" s="637"/>
      <c r="I3999" s="637"/>
      <c r="J3999" s="637"/>
    </row>
    <row r="4000" spans="1:10" x14ac:dyDescent="0.2">
      <c r="A4000" s="626"/>
      <c r="B4000" s="637"/>
      <c r="C4000" s="637"/>
      <c r="D4000" s="637"/>
      <c r="E4000" s="637"/>
      <c r="F4000" s="637"/>
      <c r="G4000" s="637"/>
      <c r="H4000" s="637"/>
      <c r="I4000" s="637"/>
      <c r="J4000" s="637"/>
    </row>
    <row r="4001" spans="1:10" x14ac:dyDescent="0.2">
      <c r="A4001" s="626"/>
      <c r="B4001" s="637"/>
      <c r="C4001" s="637"/>
      <c r="D4001" s="637"/>
      <c r="E4001" s="637"/>
      <c r="F4001" s="637"/>
      <c r="G4001" s="637"/>
      <c r="H4001" s="637"/>
      <c r="I4001" s="637"/>
      <c r="J4001" s="637"/>
    </row>
    <row r="4002" spans="1:10" x14ac:dyDescent="0.2">
      <c r="A4002" s="626"/>
      <c r="B4002" s="637"/>
      <c r="C4002" s="637"/>
      <c r="D4002" s="637"/>
      <c r="E4002" s="637"/>
      <c r="F4002" s="637"/>
      <c r="G4002" s="637"/>
      <c r="H4002" s="637"/>
      <c r="I4002" s="637"/>
      <c r="J4002" s="637"/>
    </row>
    <row r="4003" spans="1:10" x14ac:dyDescent="0.2">
      <c r="A4003" s="626"/>
      <c r="B4003" s="637"/>
      <c r="C4003" s="637"/>
      <c r="D4003" s="637"/>
      <c r="E4003" s="637"/>
      <c r="F4003" s="637"/>
      <c r="G4003" s="637"/>
      <c r="H4003" s="637"/>
      <c r="I4003" s="637"/>
      <c r="J4003" s="637"/>
    </row>
    <row r="4004" spans="1:10" x14ac:dyDescent="0.2">
      <c r="A4004" s="626"/>
      <c r="B4004" s="637"/>
      <c r="C4004" s="637"/>
      <c r="D4004" s="637"/>
      <c r="E4004" s="637"/>
      <c r="F4004" s="637"/>
      <c r="G4004" s="637"/>
      <c r="H4004" s="637"/>
      <c r="I4004" s="637"/>
      <c r="J4004" s="637"/>
    </row>
    <row r="4005" spans="1:10" x14ac:dyDescent="0.2">
      <c r="A4005" s="626"/>
      <c r="B4005" s="637"/>
      <c r="C4005" s="637"/>
      <c r="D4005" s="637"/>
      <c r="E4005" s="637"/>
      <c r="F4005" s="637"/>
      <c r="G4005" s="637"/>
      <c r="H4005" s="637"/>
      <c r="I4005" s="637"/>
      <c r="J4005" s="637"/>
    </row>
    <row r="4006" spans="1:10" x14ac:dyDescent="0.2">
      <c r="A4006" s="626"/>
      <c r="B4006" s="637"/>
      <c r="C4006" s="637"/>
      <c r="D4006" s="637"/>
      <c r="E4006" s="637"/>
      <c r="F4006" s="637"/>
      <c r="G4006" s="637"/>
      <c r="H4006" s="637"/>
      <c r="I4006" s="637"/>
      <c r="J4006" s="637"/>
    </row>
    <row r="4007" spans="1:10" x14ac:dyDescent="0.2">
      <c r="A4007" s="626"/>
      <c r="B4007" s="637"/>
      <c r="C4007" s="637"/>
      <c r="D4007" s="637"/>
      <c r="E4007" s="637"/>
      <c r="F4007" s="637"/>
      <c r="G4007" s="637"/>
      <c r="H4007" s="637"/>
      <c r="I4007" s="637"/>
      <c r="J4007" s="637"/>
    </row>
    <row r="4008" spans="1:10" x14ac:dyDescent="0.2">
      <c r="A4008" s="626"/>
      <c r="B4008" s="637"/>
      <c r="C4008" s="637"/>
      <c r="D4008" s="637"/>
      <c r="E4008" s="637"/>
      <c r="F4008" s="637"/>
      <c r="G4008" s="637"/>
      <c r="H4008" s="637"/>
      <c r="I4008" s="637"/>
      <c r="J4008" s="637"/>
    </row>
    <row r="4009" spans="1:10" x14ac:dyDescent="0.2">
      <c r="A4009" s="626"/>
      <c r="B4009" s="637"/>
      <c r="C4009" s="637"/>
      <c r="D4009" s="637"/>
      <c r="E4009" s="637"/>
      <c r="F4009" s="637"/>
      <c r="G4009" s="637"/>
      <c r="H4009" s="637"/>
      <c r="I4009" s="637"/>
      <c r="J4009" s="637"/>
    </row>
    <row r="4010" spans="1:10" x14ac:dyDescent="0.2">
      <c r="A4010" s="626"/>
      <c r="B4010" s="637"/>
      <c r="C4010" s="637"/>
      <c r="D4010" s="637"/>
      <c r="E4010" s="637"/>
      <c r="F4010" s="637"/>
      <c r="G4010" s="637"/>
      <c r="H4010" s="637"/>
      <c r="I4010" s="637"/>
      <c r="J4010" s="637"/>
    </row>
    <row r="4011" spans="1:10" x14ac:dyDescent="0.2">
      <c r="A4011" s="626"/>
      <c r="B4011" s="637"/>
      <c r="C4011" s="637"/>
      <c r="D4011" s="637"/>
      <c r="E4011" s="637"/>
      <c r="F4011" s="637"/>
      <c r="G4011" s="637"/>
      <c r="H4011" s="637"/>
      <c r="I4011" s="637"/>
      <c r="J4011" s="637"/>
    </row>
    <row r="4012" spans="1:10" x14ac:dyDescent="0.2">
      <c r="A4012" s="626"/>
      <c r="B4012" s="637"/>
      <c r="C4012" s="637"/>
      <c r="D4012" s="637"/>
      <c r="E4012" s="637"/>
      <c r="F4012" s="637"/>
      <c r="G4012" s="637"/>
      <c r="H4012" s="637"/>
      <c r="I4012" s="637"/>
      <c r="J4012" s="637"/>
    </row>
    <row r="4013" spans="1:10" x14ac:dyDescent="0.2">
      <c r="A4013" s="626"/>
      <c r="B4013" s="637"/>
      <c r="C4013" s="637"/>
      <c r="D4013" s="637"/>
      <c r="E4013" s="637"/>
      <c r="F4013" s="637"/>
      <c r="G4013" s="637"/>
      <c r="H4013" s="637"/>
      <c r="I4013" s="637"/>
      <c r="J4013" s="637"/>
    </row>
    <row r="4014" spans="1:10" x14ac:dyDescent="0.2">
      <c r="A4014" s="626"/>
      <c r="B4014" s="637"/>
      <c r="C4014" s="637"/>
      <c r="D4014" s="637"/>
      <c r="E4014" s="637"/>
      <c r="F4014" s="637"/>
      <c r="G4014" s="637"/>
      <c r="H4014" s="637"/>
      <c r="I4014" s="637"/>
      <c r="J4014" s="637"/>
    </row>
    <row r="4015" spans="1:10" x14ac:dyDescent="0.2">
      <c r="A4015" s="626"/>
      <c r="B4015" s="637"/>
      <c r="C4015" s="637"/>
      <c r="D4015" s="637"/>
      <c r="E4015" s="637"/>
      <c r="F4015" s="637"/>
      <c r="G4015" s="637"/>
      <c r="H4015" s="637"/>
      <c r="I4015" s="637"/>
      <c r="J4015" s="637"/>
    </row>
    <row r="4016" spans="1:10" x14ac:dyDescent="0.2">
      <c r="A4016" s="626"/>
      <c r="B4016" s="637"/>
      <c r="C4016" s="637"/>
      <c r="D4016" s="637"/>
      <c r="E4016" s="637"/>
      <c r="F4016" s="637"/>
      <c r="G4016" s="637"/>
      <c r="H4016" s="637"/>
      <c r="I4016" s="637"/>
      <c r="J4016" s="637"/>
    </row>
    <row r="4017" spans="1:10" x14ac:dyDescent="0.2">
      <c r="A4017" s="626"/>
      <c r="B4017" s="637"/>
      <c r="C4017" s="637"/>
      <c r="D4017" s="637"/>
      <c r="E4017" s="637"/>
      <c r="F4017" s="637"/>
      <c r="G4017" s="637"/>
      <c r="H4017" s="637"/>
      <c r="I4017" s="637"/>
      <c r="J4017" s="637"/>
    </row>
    <row r="4018" spans="1:10" x14ac:dyDescent="0.2">
      <c r="A4018" s="626"/>
      <c r="B4018" s="637"/>
      <c r="C4018" s="637"/>
      <c r="D4018" s="637"/>
      <c r="E4018" s="637"/>
      <c r="F4018" s="637"/>
      <c r="G4018" s="637"/>
      <c r="H4018" s="637"/>
      <c r="I4018" s="637"/>
      <c r="J4018" s="637"/>
    </row>
    <row r="4019" spans="1:10" x14ac:dyDescent="0.2">
      <c r="A4019" s="626"/>
      <c r="B4019" s="637"/>
      <c r="C4019" s="637"/>
      <c r="D4019" s="637"/>
      <c r="E4019" s="637"/>
      <c r="F4019" s="637"/>
      <c r="G4019" s="637"/>
      <c r="H4019" s="637"/>
      <c r="I4019" s="637"/>
      <c r="J4019" s="637"/>
    </row>
    <row r="4020" spans="1:10" x14ac:dyDescent="0.2">
      <c r="A4020" s="626"/>
      <c r="B4020" s="637"/>
      <c r="C4020" s="637"/>
      <c r="D4020" s="637"/>
      <c r="E4020" s="637"/>
      <c r="F4020" s="637"/>
      <c r="G4020" s="637"/>
      <c r="H4020" s="637"/>
      <c r="I4020" s="637"/>
      <c r="J4020" s="637"/>
    </row>
    <row r="4021" spans="1:10" x14ac:dyDescent="0.2">
      <c r="A4021" s="626"/>
      <c r="B4021" s="637"/>
      <c r="C4021" s="637"/>
      <c r="D4021" s="637"/>
      <c r="E4021" s="637"/>
      <c r="F4021" s="637"/>
      <c r="G4021" s="637"/>
      <c r="H4021" s="637"/>
      <c r="I4021" s="637"/>
      <c r="J4021" s="637"/>
    </row>
    <row r="4022" spans="1:10" x14ac:dyDescent="0.2">
      <c r="A4022" s="626"/>
      <c r="B4022" s="637"/>
      <c r="C4022" s="637"/>
      <c r="D4022" s="637"/>
      <c r="E4022" s="637"/>
      <c r="F4022" s="637"/>
      <c r="G4022" s="637"/>
      <c r="H4022" s="637"/>
      <c r="I4022" s="637"/>
      <c r="J4022" s="637"/>
    </row>
    <row r="4023" spans="1:10" x14ac:dyDescent="0.2">
      <c r="A4023" s="626"/>
      <c r="B4023" s="637"/>
      <c r="C4023" s="637"/>
      <c r="D4023" s="637"/>
      <c r="E4023" s="637"/>
      <c r="F4023" s="637"/>
      <c r="G4023" s="637"/>
      <c r="H4023" s="637"/>
      <c r="I4023" s="637"/>
      <c r="J4023" s="637"/>
    </row>
    <row r="4024" spans="1:10" x14ac:dyDescent="0.2">
      <c r="A4024" s="626"/>
      <c r="B4024" s="637"/>
      <c r="C4024" s="637"/>
      <c r="D4024" s="637"/>
      <c r="E4024" s="637"/>
      <c r="F4024" s="637"/>
      <c r="G4024" s="637"/>
      <c r="H4024" s="637"/>
      <c r="I4024" s="637"/>
      <c r="J4024" s="637"/>
    </row>
    <row r="4025" spans="1:10" x14ac:dyDescent="0.2">
      <c r="A4025" s="626"/>
      <c r="B4025" s="637"/>
      <c r="C4025" s="637"/>
      <c r="D4025" s="637"/>
      <c r="E4025" s="637"/>
      <c r="F4025" s="637"/>
      <c r="G4025" s="637"/>
      <c r="H4025" s="637"/>
      <c r="I4025" s="637"/>
      <c r="J4025" s="637"/>
    </row>
    <row r="4026" spans="1:10" x14ac:dyDescent="0.2">
      <c r="A4026" s="626"/>
      <c r="B4026" s="637"/>
      <c r="C4026" s="637"/>
      <c r="D4026" s="637"/>
      <c r="E4026" s="637"/>
      <c r="F4026" s="637"/>
      <c r="G4026" s="637"/>
      <c r="H4026" s="637"/>
      <c r="I4026" s="637"/>
      <c r="J4026" s="637"/>
    </row>
    <row r="4027" spans="1:10" x14ac:dyDescent="0.2">
      <c r="A4027" s="626"/>
      <c r="B4027" s="637"/>
      <c r="C4027" s="637"/>
      <c r="D4027" s="637"/>
      <c r="E4027" s="637"/>
      <c r="F4027" s="637"/>
      <c r="G4027" s="637"/>
      <c r="H4027" s="637"/>
      <c r="I4027" s="637"/>
      <c r="J4027" s="637"/>
    </row>
    <row r="4028" spans="1:10" x14ac:dyDescent="0.2">
      <c r="A4028" s="626"/>
      <c r="B4028" s="637"/>
      <c r="C4028" s="637"/>
      <c r="D4028" s="637"/>
      <c r="E4028" s="637"/>
      <c r="F4028" s="637"/>
      <c r="G4028" s="637"/>
      <c r="H4028" s="637"/>
      <c r="I4028" s="637"/>
      <c r="J4028" s="637"/>
    </row>
    <row r="4029" spans="1:10" x14ac:dyDescent="0.2">
      <c r="A4029" s="626"/>
      <c r="B4029" s="637"/>
      <c r="C4029" s="637"/>
      <c r="D4029" s="637"/>
      <c r="E4029" s="637"/>
      <c r="F4029" s="637"/>
      <c r="G4029" s="637"/>
      <c r="H4029" s="637"/>
      <c r="I4029" s="637"/>
      <c r="J4029" s="637"/>
    </row>
    <row r="4030" spans="1:10" x14ac:dyDescent="0.2">
      <c r="A4030" s="626"/>
      <c r="B4030" s="637"/>
      <c r="C4030" s="637"/>
      <c r="D4030" s="637"/>
      <c r="E4030" s="637"/>
      <c r="F4030" s="637"/>
      <c r="G4030" s="637"/>
      <c r="H4030" s="637"/>
      <c r="I4030" s="637"/>
      <c r="J4030" s="637"/>
    </row>
    <row r="4031" spans="1:10" x14ac:dyDescent="0.2">
      <c r="A4031" s="626"/>
      <c r="B4031" s="637"/>
      <c r="C4031" s="637"/>
      <c r="D4031" s="637"/>
      <c r="E4031" s="637"/>
      <c r="F4031" s="637"/>
      <c r="G4031" s="637"/>
      <c r="H4031" s="637"/>
      <c r="I4031" s="637"/>
      <c r="J4031" s="637"/>
    </row>
    <row r="4032" spans="1:10" x14ac:dyDescent="0.2">
      <c r="A4032" s="626"/>
      <c r="B4032" s="637"/>
      <c r="C4032" s="637"/>
      <c r="D4032" s="637"/>
      <c r="E4032" s="637"/>
      <c r="F4032" s="637"/>
      <c r="G4032" s="637"/>
      <c r="H4032" s="637"/>
      <c r="I4032" s="637"/>
      <c r="J4032" s="637"/>
    </row>
    <row r="4033" spans="1:10" x14ac:dyDescent="0.2">
      <c r="A4033" s="626"/>
      <c r="B4033" s="637"/>
      <c r="C4033" s="637"/>
      <c r="D4033" s="637"/>
      <c r="E4033" s="637"/>
      <c r="F4033" s="637"/>
      <c r="G4033" s="637"/>
      <c r="H4033" s="637"/>
      <c r="I4033" s="637"/>
      <c r="J4033" s="637"/>
    </row>
    <row r="4034" spans="1:10" x14ac:dyDescent="0.2">
      <c r="A4034" s="626"/>
      <c r="B4034" s="637"/>
      <c r="C4034" s="637"/>
      <c r="D4034" s="637"/>
      <c r="E4034" s="637"/>
      <c r="F4034" s="637"/>
      <c r="G4034" s="637"/>
      <c r="H4034" s="637"/>
      <c r="I4034" s="637"/>
      <c r="J4034" s="637"/>
    </row>
    <row r="4035" spans="1:10" x14ac:dyDescent="0.2">
      <c r="A4035" s="626"/>
      <c r="B4035" s="637"/>
      <c r="C4035" s="637"/>
      <c r="D4035" s="637"/>
      <c r="E4035" s="637"/>
      <c r="F4035" s="637"/>
      <c r="G4035" s="637"/>
      <c r="H4035" s="637"/>
      <c r="I4035" s="637"/>
      <c r="J4035" s="637"/>
    </row>
    <row r="4036" spans="1:10" x14ac:dyDescent="0.2">
      <c r="A4036" s="626"/>
      <c r="B4036" s="637"/>
      <c r="C4036" s="637"/>
      <c r="D4036" s="637"/>
      <c r="E4036" s="637"/>
      <c r="F4036" s="637"/>
      <c r="G4036" s="637"/>
      <c r="H4036" s="637"/>
      <c r="I4036" s="637"/>
      <c r="J4036" s="637"/>
    </row>
    <row r="4037" spans="1:10" x14ac:dyDescent="0.2">
      <c r="A4037" s="626"/>
      <c r="B4037" s="637"/>
      <c r="C4037" s="637"/>
      <c r="D4037" s="637"/>
      <c r="E4037" s="637"/>
      <c r="F4037" s="637"/>
      <c r="G4037" s="637"/>
      <c r="H4037" s="637"/>
      <c r="I4037" s="637"/>
      <c r="J4037" s="637"/>
    </row>
    <row r="4038" spans="1:10" x14ac:dyDescent="0.2">
      <c r="A4038" s="626"/>
      <c r="B4038" s="637"/>
      <c r="C4038" s="637"/>
      <c r="D4038" s="637"/>
      <c r="E4038" s="637"/>
      <c r="F4038" s="637"/>
      <c r="G4038" s="637"/>
      <c r="H4038" s="637"/>
      <c r="I4038" s="637"/>
      <c r="J4038" s="637"/>
    </row>
    <row r="4039" spans="1:10" x14ac:dyDescent="0.2">
      <c r="A4039" s="626"/>
      <c r="B4039" s="637"/>
      <c r="C4039" s="637"/>
      <c r="D4039" s="637"/>
      <c r="E4039" s="637"/>
      <c r="F4039" s="637"/>
      <c r="G4039" s="637"/>
      <c r="H4039" s="637"/>
      <c r="I4039" s="637"/>
      <c r="J4039" s="637"/>
    </row>
    <row r="4040" spans="1:10" x14ac:dyDescent="0.2">
      <c r="A4040" s="626"/>
      <c r="B4040" s="637"/>
      <c r="C4040" s="637"/>
      <c r="D4040" s="637"/>
      <c r="E4040" s="637"/>
      <c r="F4040" s="637"/>
      <c r="G4040" s="637"/>
      <c r="H4040" s="637"/>
      <c r="I4040" s="637"/>
      <c r="J4040" s="637"/>
    </row>
    <row r="4041" spans="1:10" x14ac:dyDescent="0.2">
      <c r="A4041" s="626"/>
      <c r="B4041" s="637"/>
      <c r="C4041" s="637"/>
      <c r="D4041" s="637"/>
      <c r="E4041" s="637"/>
      <c r="F4041" s="637"/>
      <c r="G4041" s="637"/>
      <c r="H4041" s="637"/>
      <c r="I4041" s="637"/>
      <c r="J4041" s="637"/>
    </row>
    <row r="4042" spans="1:10" x14ac:dyDescent="0.2">
      <c r="A4042" s="626"/>
      <c r="B4042" s="637"/>
      <c r="C4042" s="637"/>
      <c r="D4042" s="637"/>
      <c r="E4042" s="637"/>
      <c r="F4042" s="637"/>
      <c r="G4042" s="637"/>
      <c r="H4042" s="637"/>
      <c r="I4042" s="637"/>
      <c r="J4042" s="637"/>
    </row>
    <row r="4043" spans="1:10" x14ac:dyDescent="0.2">
      <c r="A4043" s="626"/>
      <c r="B4043" s="637"/>
      <c r="C4043" s="637"/>
      <c r="D4043" s="637"/>
      <c r="E4043" s="637"/>
      <c r="F4043" s="637"/>
      <c r="G4043" s="637"/>
      <c r="H4043" s="637"/>
      <c r="I4043" s="637"/>
      <c r="J4043" s="637"/>
    </row>
    <row r="4044" spans="1:10" x14ac:dyDescent="0.2">
      <c r="A4044" s="626"/>
      <c r="B4044" s="637"/>
      <c r="C4044" s="637"/>
      <c r="D4044" s="637"/>
      <c r="E4044" s="637"/>
      <c r="F4044" s="637"/>
      <c r="G4044" s="637"/>
      <c r="H4044" s="637"/>
      <c r="I4044" s="637"/>
      <c r="J4044" s="637"/>
    </row>
    <row r="4045" spans="1:10" x14ac:dyDescent="0.2">
      <c r="A4045" s="626"/>
      <c r="B4045" s="637"/>
      <c r="C4045" s="637"/>
      <c r="D4045" s="637"/>
      <c r="E4045" s="637"/>
      <c r="F4045" s="637"/>
      <c r="G4045" s="637"/>
      <c r="H4045" s="637"/>
      <c r="I4045" s="637"/>
      <c r="J4045" s="637"/>
    </row>
    <row r="4046" spans="1:10" x14ac:dyDescent="0.2">
      <c r="A4046" s="626"/>
      <c r="B4046" s="637"/>
      <c r="C4046" s="637"/>
      <c r="D4046" s="637"/>
      <c r="E4046" s="637"/>
      <c r="F4046" s="637"/>
      <c r="G4046" s="637"/>
      <c r="H4046" s="637"/>
      <c r="I4046" s="637"/>
      <c r="J4046" s="637"/>
    </row>
    <row r="4047" spans="1:10" x14ac:dyDescent="0.2">
      <c r="A4047" s="626"/>
      <c r="B4047" s="637"/>
      <c r="C4047" s="637"/>
      <c r="D4047" s="637"/>
      <c r="E4047" s="637"/>
      <c r="F4047" s="637"/>
      <c r="G4047" s="637"/>
      <c r="H4047" s="637"/>
      <c r="I4047" s="637"/>
      <c r="J4047" s="637"/>
    </row>
    <row r="4048" spans="1:10" x14ac:dyDescent="0.2">
      <c r="A4048" s="626"/>
      <c r="B4048" s="637"/>
      <c r="C4048" s="637"/>
      <c r="D4048" s="637"/>
      <c r="E4048" s="637"/>
      <c r="F4048" s="637"/>
      <c r="G4048" s="637"/>
      <c r="H4048" s="637"/>
      <c r="I4048" s="637"/>
      <c r="J4048" s="637"/>
    </row>
    <row r="4049" spans="1:10" x14ac:dyDescent="0.2">
      <c r="A4049" s="626"/>
      <c r="B4049" s="637"/>
      <c r="C4049" s="637"/>
      <c r="D4049" s="637"/>
      <c r="E4049" s="637"/>
      <c r="F4049" s="637"/>
      <c r="G4049" s="637"/>
      <c r="H4049" s="637"/>
      <c r="I4049" s="637"/>
      <c r="J4049" s="637"/>
    </row>
    <row r="4050" spans="1:10" x14ac:dyDescent="0.2">
      <c r="A4050" s="626"/>
      <c r="B4050" s="637"/>
      <c r="C4050" s="637"/>
      <c r="D4050" s="637"/>
      <c r="E4050" s="637"/>
      <c r="F4050" s="637"/>
      <c r="G4050" s="637"/>
      <c r="H4050" s="637"/>
      <c r="I4050" s="637"/>
      <c r="J4050" s="637"/>
    </row>
    <row r="4051" spans="1:10" x14ac:dyDescent="0.2">
      <c r="A4051" s="626"/>
      <c r="B4051" s="637"/>
      <c r="C4051" s="637"/>
      <c r="D4051" s="637"/>
      <c r="E4051" s="637"/>
      <c r="F4051" s="637"/>
      <c r="G4051" s="637"/>
      <c r="H4051" s="637"/>
      <c r="I4051" s="637"/>
      <c r="J4051" s="637"/>
    </row>
    <row r="4052" spans="1:10" x14ac:dyDescent="0.2">
      <c r="A4052" s="626"/>
      <c r="B4052" s="637"/>
      <c r="C4052" s="637"/>
      <c r="D4052" s="637"/>
      <c r="E4052" s="637"/>
      <c r="F4052" s="637"/>
      <c r="G4052" s="637"/>
      <c r="H4052" s="637"/>
      <c r="I4052" s="637"/>
      <c r="J4052" s="637"/>
    </row>
    <row r="4053" spans="1:10" x14ac:dyDescent="0.2">
      <c r="A4053" s="626"/>
      <c r="B4053" s="637"/>
      <c r="C4053" s="637"/>
      <c r="D4053" s="637"/>
      <c r="E4053" s="637"/>
      <c r="F4053" s="637"/>
      <c r="G4053" s="637"/>
      <c r="H4053" s="637"/>
      <c r="I4053" s="637"/>
      <c r="J4053" s="637"/>
    </row>
    <row r="4054" spans="1:10" x14ac:dyDescent="0.2">
      <c r="A4054" s="626"/>
      <c r="B4054" s="637"/>
      <c r="C4054" s="637"/>
      <c r="D4054" s="637"/>
      <c r="E4054" s="637"/>
      <c r="F4054" s="637"/>
      <c r="G4054" s="637"/>
      <c r="H4054" s="637"/>
      <c r="I4054" s="637"/>
      <c r="J4054" s="637"/>
    </row>
    <row r="4055" spans="1:10" x14ac:dyDescent="0.2">
      <c r="A4055" s="626"/>
      <c r="B4055" s="637"/>
      <c r="C4055" s="637"/>
      <c r="D4055" s="637"/>
      <c r="E4055" s="637"/>
      <c r="F4055" s="637"/>
      <c r="G4055" s="637"/>
      <c r="H4055" s="637"/>
      <c r="I4055" s="637"/>
      <c r="J4055" s="637"/>
    </row>
    <row r="4056" spans="1:10" x14ac:dyDescent="0.2">
      <c r="A4056" s="626"/>
      <c r="B4056" s="637"/>
      <c r="C4056" s="637"/>
      <c r="D4056" s="637"/>
      <c r="E4056" s="637"/>
      <c r="F4056" s="637"/>
      <c r="G4056" s="637"/>
      <c r="H4056" s="637"/>
      <c r="I4056" s="637"/>
      <c r="J4056" s="637"/>
    </row>
    <row r="4057" spans="1:10" x14ac:dyDescent="0.2">
      <c r="A4057" s="626"/>
      <c r="B4057" s="637"/>
      <c r="C4057" s="637"/>
      <c r="D4057" s="637"/>
      <c r="E4057" s="637"/>
      <c r="F4057" s="637"/>
      <c r="G4057" s="637"/>
      <c r="H4057" s="637"/>
      <c r="I4057" s="637"/>
      <c r="J4057" s="637"/>
    </row>
    <row r="4058" spans="1:10" x14ac:dyDescent="0.2">
      <c r="A4058" s="626"/>
      <c r="B4058" s="637"/>
      <c r="C4058" s="637"/>
      <c r="D4058" s="637"/>
      <c r="E4058" s="637"/>
      <c r="F4058" s="637"/>
      <c r="G4058" s="637"/>
      <c r="H4058" s="637"/>
      <c r="I4058" s="637"/>
      <c r="J4058" s="637"/>
    </row>
    <row r="4059" spans="1:10" x14ac:dyDescent="0.2">
      <c r="A4059" s="626"/>
      <c r="B4059" s="637"/>
      <c r="C4059" s="637"/>
      <c r="D4059" s="637"/>
      <c r="E4059" s="637"/>
      <c r="F4059" s="637"/>
      <c r="G4059" s="637"/>
      <c r="H4059" s="637"/>
      <c r="I4059" s="637"/>
      <c r="J4059" s="637"/>
    </row>
    <row r="4060" spans="1:10" x14ac:dyDescent="0.2">
      <c r="A4060" s="626"/>
      <c r="B4060" s="637"/>
      <c r="C4060" s="637"/>
      <c r="D4060" s="637"/>
      <c r="E4060" s="637"/>
      <c r="F4060" s="637"/>
      <c r="G4060" s="637"/>
      <c r="H4060" s="637"/>
      <c r="I4060" s="637"/>
      <c r="J4060" s="637"/>
    </row>
    <row r="4061" spans="1:10" x14ac:dyDescent="0.2">
      <c r="A4061" s="626"/>
      <c r="B4061" s="637"/>
      <c r="C4061" s="637"/>
      <c r="D4061" s="637"/>
      <c r="E4061" s="637"/>
      <c r="F4061" s="637"/>
      <c r="G4061" s="637"/>
      <c r="H4061" s="637"/>
      <c r="I4061" s="637"/>
      <c r="J4061" s="637"/>
    </row>
    <row r="4062" spans="1:10" x14ac:dyDescent="0.2">
      <c r="A4062" s="626"/>
      <c r="B4062" s="637"/>
      <c r="C4062" s="637"/>
      <c r="D4062" s="637"/>
      <c r="E4062" s="637"/>
      <c r="F4062" s="637"/>
      <c r="G4062" s="637"/>
      <c r="H4062" s="637"/>
      <c r="I4062" s="637"/>
      <c r="J4062" s="637"/>
    </row>
    <row r="4063" spans="1:10" x14ac:dyDescent="0.2">
      <c r="A4063" s="626"/>
      <c r="B4063" s="637"/>
      <c r="C4063" s="637"/>
      <c r="D4063" s="637"/>
      <c r="E4063" s="637"/>
      <c r="F4063" s="637"/>
      <c r="G4063" s="637"/>
      <c r="H4063" s="637"/>
      <c r="I4063" s="637"/>
      <c r="J4063" s="637"/>
    </row>
    <row r="4064" spans="1:10" x14ac:dyDescent="0.2">
      <c r="A4064" s="626"/>
      <c r="B4064" s="637"/>
      <c r="C4064" s="637"/>
      <c r="D4064" s="637"/>
      <c r="E4064" s="637"/>
      <c r="F4064" s="637"/>
      <c r="G4064" s="637"/>
      <c r="H4064" s="637"/>
      <c r="I4064" s="637"/>
      <c r="J4064" s="637"/>
    </row>
    <row r="4065" spans="1:10" x14ac:dyDescent="0.2">
      <c r="A4065" s="626"/>
      <c r="B4065" s="637"/>
      <c r="C4065" s="637"/>
      <c r="D4065" s="637"/>
      <c r="E4065" s="637"/>
      <c r="F4065" s="637"/>
      <c r="G4065" s="637"/>
      <c r="H4065" s="637"/>
      <c r="I4065" s="637"/>
      <c r="J4065" s="637"/>
    </row>
    <row r="4066" spans="1:10" x14ac:dyDescent="0.2">
      <c r="A4066" s="626"/>
      <c r="B4066" s="637"/>
      <c r="C4066" s="637"/>
      <c r="D4066" s="637"/>
      <c r="E4066" s="637"/>
      <c r="F4066" s="637"/>
      <c r="G4066" s="637"/>
      <c r="H4066" s="637"/>
      <c r="I4066" s="637"/>
      <c r="J4066" s="637"/>
    </row>
    <row r="4067" spans="1:10" x14ac:dyDescent="0.2">
      <c r="A4067" s="626"/>
      <c r="B4067" s="637"/>
      <c r="C4067" s="637"/>
      <c r="D4067" s="637"/>
      <c r="E4067" s="637"/>
      <c r="F4067" s="637"/>
      <c r="G4067" s="637"/>
      <c r="H4067" s="637"/>
      <c r="I4067" s="637"/>
      <c r="J4067" s="637"/>
    </row>
    <row r="4068" spans="1:10" x14ac:dyDescent="0.2">
      <c r="A4068" s="626"/>
      <c r="B4068" s="637"/>
      <c r="C4068" s="637"/>
      <c r="D4068" s="637"/>
      <c r="E4068" s="637"/>
      <c r="F4068" s="637"/>
      <c r="G4068" s="637"/>
      <c r="H4068" s="637"/>
      <c r="I4068" s="637"/>
      <c r="J4068" s="637"/>
    </row>
    <row r="4069" spans="1:10" x14ac:dyDescent="0.2">
      <c r="A4069" s="626"/>
      <c r="B4069" s="637"/>
      <c r="C4069" s="637"/>
      <c r="D4069" s="637"/>
      <c r="E4069" s="637"/>
      <c r="F4069" s="637"/>
      <c r="G4069" s="637"/>
      <c r="H4069" s="637"/>
      <c r="I4069" s="637"/>
      <c r="J4069" s="637"/>
    </row>
    <row r="4070" spans="1:10" x14ac:dyDescent="0.2">
      <c r="A4070" s="626"/>
      <c r="B4070" s="637"/>
      <c r="C4070" s="637"/>
      <c r="D4070" s="637"/>
      <c r="E4070" s="637"/>
      <c r="F4070" s="637"/>
      <c r="G4070" s="637"/>
      <c r="H4070" s="637"/>
      <c r="I4070" s="637"/>
      <c r="J4070" s="637"/>
    </row>
    <row r="4071" spans="1:10" x14ac:dyDescent="0.2">
      <c r="A4071" s="626"/>
      <c r="B4071" s="637"/>
      <c r="C4071" s="637"/>
      <c r="D4071" s="637"/>
      <c r="E4071" s="637"/>
      <c r="F4071" s="637"/>
      <c r="G4071" s="637"/>
      <c r="H4071" s="637"/>
      <c r="I4071" s="637"/>
      <c r="J4071" s="637"/>
    </row>
    <row r="4072" spans="1:10" x14ac:dyDescent="0.2">
      <c r="A4072" s="626"/>
      <c r="B4072" s="637"/>
      <c r="C4072" s="637"/>
      <c r="D4072" s="637"/>
      <c r="E4072" s="637"/>
      <c r="F4072" s="637"/>
      <c r="G4072" s="637"/>
      <c r="H4072" s="637"/>
      <c r="I4072" s="637"/>
      <c r="J4072" s="637"/>
    </row>
    <row r="4073" spans="1:10" x14ac:dyDescent="0.2">
      <c r="A4073" s="626"/>
      <c r="B4073" s="637"/>
      <c r="C4073" s="637"/>
      <c r="D4073" s="637"/>
      <c r="E4073" s="637"/>
      <c r="F4073" s="637"/>
      <c r="G4073" s="637"/>
      <c r="H4073" s="637"/>
      <c r="I4073" s="637"/>
      <c r="J4073" s="637"/>
    </row>
    <row r="4074" spans="1:10" x14ac:dyDescent="0.2">
      <c r="A4074" s="626"/>
      <c r="B4074" s="637"/>
      <c r="C4074" s="637"/>
      <c r="D4074" s="637"/>
      <c r="E4074" s="637"/>
      <c r="F4074" s="637"/>
      <c r="G4074" s="637"/>
      <c r="H4074" s="637"/>
      <c r="I4074" s="637"/>
      <c r="J4074" s="637"/>
    </row>
    <row r="4075" spans="1:10" x14ac:dyDescent="0.2">
      <c r="A4075" s="626"/>
      <c r="B4075" s="637"/>
      <c r="C4075" s="637"/>
      <c r="D4075" s="637"/>
      <c r="E4075" s="637"/>
      <c r="F4075" s="637"/>
      <c r="G4075" s="637"/>
      <c r="H4075" s="637"/>
      <c r="I4075" s="637"/>
      <c r="J4075" s="637"/>
    </row>
    <row r="4076" spans="1:10" x14ac:dyDescent="0.2">
      <c r="A4076" s="626"/>
      <c r="B4076" s="637"/>
      <c r="C4076" s="637"/>
      <c r="D4076" s="637"/>
      <c r="E4076" s="637"/>
      <c r="F4076" s="637"/>
      <c r="G4076" s="637"/>
      <c r="H4076" s="637"/>
      <c r="I4076" s="637"/>
      <c r="J4076" s="637"/>
    </row>
    <row r="4077" spans="1:10" x14ac:dyDescent="0.2">
      <c r="A4077" s="626"/>
      <c r="B4077" s="637"/>
      <c r="C4077" s="637"/>
      <c r="D4077" s="637"/>
      <c r="E4077" s="637"/>
      <c r="F4077" s="637"/>
      <c r="G4077" s="637"/>
      <c r="H4077" s="637"/>
      <c r="I4077" s="637"/>
      <c r="J4077" s="637"/>
    </row>
    <row r="4078" spans="1:10" x14ac:dyDescent="0.2">
      <c r="A4078" s="626"/>
      <c r="B4078" s="637"/>
      <c r="C4078" s="637"/>
      <c r="D4078" s="637"/>
      <c r="E4078" s="637"/>
      <c r="F4078" s="637"/>
      <c r="G4078" s="637"/>
      <c r="H4078" s="637"/>
      <c r="I4078" s="637"/>
      <c r="J4078" s="637"/>
    </row>
    <row r="4079" spans="1:10" x14ac:dyDescent="0.2">
      <c r="A4079" s="626"/>
      <c r="B4079" s="637"/>
      <c r="C4079" s="637"/>
      <c r="D4079" s="637"/>
      <c r="E4079" s="637"/>
      <c r="F4079" s="637"/>
      <c r="G4079" s="637"/>
      <c r="H4079" s="637"/>
      <c r="I4079" s="637"/>
      <c r="J4079" s="637"/>
    </row>
    <row r="4080" spans="1:10" x14ac:dyDescent="0.2">
      <c r="A4080" s="626"/>
      <c r="B4080" s="637"/>
      <c r="C4080" s="637"/>
      <c r="D4080" s="637"/>
      <c r="E4080" s="637"/>
      <c r="F4080" s="637"/>
      <c r="G4080" s="637"/>
      <c r="H4080" s="637"/>
      <c r="I4080" s="637"/>
      <c r="J4080" s="637"/>
    </row>
    <row r="4081" spans="1:10" x14ac:dyDescent="0.2">
      <c r="A4081" s="626"/>
      <c r="B4081" s="637"/>
      <c r="C4081" s="637"/>
      <c r="D4081" s="637"/>
      <c r="E4081" s="637"/>
      <c r="F4081" s="637"/>
      <c r="G4081" s="637"/>
      <c r="H4081" s="637"/>
      <c r="I4081" s="637"/>
      <c r="J4081" s="637"/>
    </row>
    <row r="4082" spans="1:10" x14ac:dyDescent="0.2">
      <c r="A4082" s="626"/>
      <c r="B4082" s="637"/>
      <c r="C4082" s="637"/>
      <c r="D4082" s="637"/>
      <c r="E4082" s="637"/>
      <c r="F4082" s="637"/>
      <c r="G4082" s="637"/>
      <c r="H4082" s="637"/>
      <c r="I4082" s="637"/>
      <c r="J4082" s="637"/>
    </row>
    <row r="4083" spans="1:10" x14ac:dyDescent="0.2">
      <c r="A4083" s="626"/>
      <c r="B4083" s="637"/>
      <c r="C4083" s="637"/>
      <c r="D4083" s="637"/>
      <c r="E4083" s="637"/>
      <c r="F4083" s="637"/>
      <c r="G4083" s="637"/>
      <c r="H4083" s="637"/>
      <c r="I4083" s="637"/>
      <c r="J4083" s="637"/>
    </row>
    <row r="4084" spans="1:10" x14ac:dyDescent="0.2">
      <c r="A4084" s="626"/>
      <c r="B4084" s="637"/>
      <c r="C4084" s="637"/>
      <c r="D4084" s="637"/>
      <c r="E4084" s="637"/>
      <c r="F4084" s="637"/>
      <c r="G4084" s="637"/>
      <c r="H4084" s="637"/>
      <c r="I4084" s="637"/>
      <c r="J4084" s="637"/>
    </row>
    <row r="4085" spans="1:10" x14ac:dyDescent="0.2">
      <c r="A4085" s="626"/>
      <c r="B4085" s="637"/>
      <c r="C4085" s="637"/>
      <c r="D4085" s="637"/>
      <c r="E4085" s="637"/>
      <c r="F4085" s="637"/>
      <c r="G4085" s="637"/>
      <c r="H4085" s="637"/>
      <c r="I4085" s="637"/>
      <c r="J4085" s="637"/>
    </row>
    <row r="4086" spans="1:10" x14ac:dyDescent="0.2">
      <c r="A4086" s="626"/>
      <c r="B4086" s="637"/>
      <c r="C4086" s="637"/>
      <c r="D4086" s="637"/>
      <c r="E4086" s="637"/>
      <c r="F4086" s="637"/>
      <c r="G4086" s="637"/>
      <c r="H4086" s="637"/>
      <c r="I4086" s="637"/>
      <c r="J4086" s="637"/>
    </row>
    <row r="4087" spans="1:10" x14ac:dyDescent="0.2">
      <c r="A4087" s="626"/>
      <c r="B4087" s="637"/>
      <c r="C4087" s="637"/>
      <c r="D4087" s="637"/>
      <c r="E4087" s="637"/>
      <c r="F4087" s="637"/>
      <c r="G4087" s="637"/>
      <c r="H4087" s="637"/>
      <c r="I4087" s="637"/>
      <c r="J4087" s="637"/>
    </row>
    <row r="4088" spans="1:10" x14ac:dyDescent="0.2">
      <c r="A4088" s="626"/>
      <c r="B4088" s="637"/>
      <c r="C4088" s="637"/>
      <c r="D4088" s="637"/>
      <c r="E4088" s="637"/>
      <c r="F4088" s="637"/>
      <c r="G4088" s="637"/>
      <c r="H4088" s="637"/>
      <c r="I4088" s="637"/>
      <c r="J4088" s="637"/>
    </row>
    <row r="4089" spans="1:10" x14ac:dyDescent="0.2">
      <c r="A4089" s="626"/>
      <c r="B4089" s="637"/>
      <c r="C4089" s="637"/>
      <c r="D4089" s="637"/>
      <c r="E4089" s="637"/>
      <c r="F4089" s="637"/>
      <c r="G4089" s="637"/>
      <c r="H4089" s="637"/>
      <c r="I4089" s="637"/>
      <c r="J4089" s="637"/>
    </row>
    <row r="4090" spans="1:10" x14ac:dyDescent="0.2">
      <c r="A4090" s="626"/>
      <c r="B4090" s="637"/>
      <c r="C4090" s="637"/>
      <c r="D4090" s="637"/>
      <c r="E4090" s="637"/>
      <c r="F4090" s="637"/>
      <c r="G4090" s="637"/>
      <c r="H4090" s="637"/>
      <c r="I4090" s="637"/>
      <c r="J4090" s="637"/>
    </row>
    <row r="4091" spans="1:10" x14ac:dyDescent="0.2">
      <c r="A4091" s="626"/>
      <c r="B4091" s="637"/>
      <c r="C4091" s="637"/>
      <c r="D4091" s="637"/>
      <c r="E4091" s="637"/>
      <c r="F4091" s="637"/>
      <c r="G4091" s="637"/>
      <c r="H4091" s="637"/>
      <c r="I4091" s="637"/>
      <c r="J4091" s="637"/>
    </row>
    <row r="4092" spans="1:10" x14ac:dyDescent="0.2">
      <c r="A4092" s="626"/>
      <c r="B4092" s="637"/>
      <c r="C4092" s="637"/>
      <c r="D4092" s="637"/>
      <c r="E4092" s="637"/>
      <c r="F4092" s="637"/>
      <c r="G4092" s="637"/>
      <c r="H4092" s="637"/>
      <c r="I4092" s="637"/>
      <c r="J4092" s="637"/>
    </row>
    <row r="4093" spans="1:10" x14ac:dyDescent="0.2">
      <c r="A4093" s="626"/>
      <c r="B4093" s="637"/>
      <c r="C4093" s="637"/>
      <c r="D4093" s="637"/>
      <c r="E4093" s="637"/>
      <c r="F4093" s="637"/>
      <c r="G4093" s="637"/>
      <c r="H4093" s="637"/>
      <c r="I4093" s="637"/>
      <c r="J4093" s="637"/>
    </row>
    <row r="4094" spans="1:10" x14ac:dyDescent="0.2">
      <c r="A4094" s="626"/>
      <c r="B4094" s="637"/>
      <c r="C4094" s="637"/>
      <c r="D4094" s="637"/>
      <c r="E4094" s="637"/>
      <c r="F4094" s="637"/>
      <c r="G4094" s="637"/>
      <c r="H4094" s="637"/>
      <c r="I4094" s="637"/>
      <c r="J4094" s="637"/>
    </row>
    <row r="4095" spans="1:10" x14ac:dyDescent="0.2">
      <c r="A4095" s="626"/>
      <c r="B4095" s="637"/>
      <c r="C4095" s="637"/>
      <c r="D4095" s="637"/>
      <c r="E4095" s="637"/>
      <c r="F4095" s="637"/>
      <c r="G4095" s="637"/>
      <c r="H4095" s="637"/>
      <c r="I4095" s="637"/>
      <c r="J4095" s="637"/>
    </row>
    <row r="4096" spans="1:10" x14ac:dyDescent="0.2">
      <c r="A4096" s="626"/>
      <c r="B4096" s="637"/>
      <c r="C4096" s="637"/>
      <c r="D4096" s="637"/>
      <c r="E4096" s="637"/>
      <c r="F4096" s="637"/>
      <c r="G4096" s="637"/>
      <c r="H4096" s="637"/>
      <c r="I4096" s="637"/>
      <c r="J4096" s="637"/>
    </row>
    <row r="4097" spans="1:10" x14ac:dyDescent="0.2">
      <c r="A4097" s="626"/>
      <c r="B4097" s="637"/>
      <c r="C4097" s="637"/>
      <c r="D4097" s="637"/>
      <c r="E4097" s="637"/>
      <c r="F4097" s="637"/>
      <c r="G4097" s="637"/>
      <c r="H4097" s="637"/>
      <c r="I4097" s="637"/>
      <c r="J4097" s="637"/>
    </row>
    <row r="4098" spans="1:10" x14ac:dyDescent="0.2">
      <c r="A4098" s="626"/>
      <c r="B4098" s="637"/>
      <c r="C4098" s="637"/>
      <c r="D4098" s="637"/>
      <c r="E4098" s="637"/>
      <c r="F4098" s="637"/>
      <c r="G4098" s="637"/>
      <c r="H4098" s="637"/>
      <c r="I4098" s="637"/>
      <c r="J4098" s="637"/>
    </row>
    <row r="4099" spans="1:10" x14ac:dyDescent="0.2">
      <c r="A4099" s="626"/>
      <c r="B4099" s="637"/>
      <c r="C4099" s="637"/>
      <c r="D4099" s="637"/>
      <c r="E4099" s="637"/>
      <c r="F4099" s="637"/>
      <c r="G4099" s="637"/>
      <c r="H4099" s="637"/>
      <c r="I4099" s="637"/>
      <c r="J4099" s="637"/>
    </row>
    <row r="4100" spans="1:10" x14ac:dyDescent="0.2">
      <c r="A4100" s="626"/>
      <c r="B4100" s="637"/>
      <c r="C4100" s="637"/>
      <c r="D4100" s="637"/>
      <c r="E4100" s="637"/>
      <c r="F4100" s="637"/>
      <c r="G4100" s="637"/>
      <c r="H4100" s="637"/>
      <c r="I4100" s="637"/>
      <c r="J4100" s="637"/>
    </row>
    <row r="4101" spans="1:10" x14ac:dyDescent="0.2">
      <c r="A4101" s="626"/>
      <c r="B4101" s="637"/>
      <c r="C4101" s="637"/>
      <c r="D4101" s="637"/>
      <c r="E4101" s="637"/>
      <c r="F4101" s="637"/>
      <c r="G4101" s="637"/>
      <c r="H4101" s="637"/>
      <c r="I4101" s="637"/>
      <c r="J4101" s="637"/>
    </row>
    <row r="4102" spans="1:10" x14ac:dyDescent="0.2">
      <c r="A4102" s="626"/>
      <c r="B4102" s="637"/>
      <c r="C4102" s="637"/>
      <c r="D4102" s="637"/>
      <c r="E4102" s="637"/>
      <c r="F4102" s="637"/>
      <c r="G4102" s="637"/>
      <c r="H4102" s="637"/>
      <c r="I4102" s="637"/>
      <c r="J4102" s="637"/>
    </row>
    <row r="4103" spans="1:10" x14ac:dyDescent="0.2">
      <c r="A4103" s="626"/>
      <c r="B4103" s="637"/>
      <c r="C4103" s="637"/>
      <c r="D4103" s="637"/>
      <c r="E4103" s="637"/>
      <c r="F4103" s="637"/>
      <c r="G4103" s="637"/>
      <c r="H4103" s="637"/>
      <c r="I4103" s="637"/>
      <c r="J4103" s="637"/>
    </row>
    <row r="4104" spans="1:10" x14ac:dyDescent="0.2">
      <c r="A4104" s="626"/>
      <c r="B4104" s="637"/>
      <c r="C4104" s="637"/>
      <c r="D4104" s="637"/>
      <c r="E4104" s="637"/>
      <c r="F4104" s="637"/>
      <c r="G4104" s="637"/>
      <c r="H4104" s="637"/>
      <c r="I4104" s="637"/>
      <c r="J4104" s="637"/>
    </row>
    <row r="4105" spans="1:10" x14ac:dyDescent="0.2">
      <c r="A4105" s="626"/>
      <c r="B4105" s="637"/>
      <c r="C4105" s="637"/>
      <c r="D4105" s="637"/>
      <c r="E4105" s="637"/>
      <c r="F4105" s="637"/>
      <c r="G4105" s="637"/>
      <c r="H4105" s="637"/>
      <c r="I4105" s="637"/>
      <c r="J4105" s="637"/>
    </row>
    <row r="4106" spans="1:10" x14ac:dyDescent="0.2">
      <c r="A4106" s="626"/>
      <c r="B4106" s="637"/>
      <c r="C4106" s="637"/>
      <c r="D4106" s="637"/>
      <c r="E4106" s="637"/>
      <c r="F4106" s="637"/>
      <c r="G4106" s="637"/>
      <c r="H4106" s="637"/>
      <c r="I4106" s="637"/>
      <c r="J4106" s="637"/>
    </row>
    <row r="4107" spans="1:10" x14ac:dyDescent="0.2">
      <c r="A4107" s="626"/>
      <c r="B4107" s="637"/>
      <c r="C4107" s="637"/>
      <c r="D4107" s="637"/>
      <c r="E4107" s="637"/>
      <c r="F4107" s="637"/>
      <c r="G4107" s="637"/>
      <c r="H4107" s="637"/>
      <c r="I4107" s="637"/>
      <c r="J4107" s="637"/>
    </row>
    <row r="4108" spans="1:10" x14ac:dyDescent="0.2">
      <c r="A4108" s="626"/>
      <c r="B4108" s="637"/>
      <c r="C4108" s="637"/>
      <c r="D4108" s="637"/>
      <c r="E4108" s="637"/>
      <c r="F4108" s="637"/>
      <c r="G4108" s="637"/>
      <c r="H4108" s="637"/>
      <c r="I4108" s="637"/>
      <c r="J4108" s="637"/>
    </row>
    <row r="4109" spans="1:10" x14ac:dyDescent="0.2">
      <c r="A4109" s="626"/>
      <c r="B4109" s="637"/>
      <c r="C4109" s="637"/>
      <c r="D4109" s="637"/>
      <c r="E4109" s="637"/>
      <c r="F4109" s="637"/>
      <c r="G4109" s="637"/>
      <c r="H4109" s="637"/>
      <c r="I4109" s="637"/>
      <c r="J4109" s="637"/>
    </row>
    <row r="4110" spans="1:10" x14ac:dyDescent="0.2">
      <c r="A4110" s="626"/>
      <c r="B4110" s="637"/>
      <c r="C4110" s="637"/>
      <c r="D4110" s="637"/>
      <c r="E4110" s="637"/>
      <c r="F4110" s="637"/>
      <c r="G4110" s="637"/>
      <c r="H4110" s="637"/>
      <c r="I4110" s="637"/>
      <c r="J4110" s="637"/>
    </row>
    <row r="4111" spans="1:10" x14ac:dyDescent="0.2">
      <c r="A4111" s="626"/>
      <c r="B4111" s="637"/>
      <c r="C4111" s="637"/>
      <c r="D4111" s="637"/>
      <c r="E4111" s="637"/>
      <c r="F4111" s="637"/>
      <c r="G4111" s="637"/>
      <c r="H4111" s="637"/>
      <c r="I4111" s="637"/>
      <c r="J4111" s="637"/>
    </row>
    <row r="4112" spans="1:10" x14ac:dyDescent="0.2">
      <c r="A4112" s="626"/>
      <c r="B4112" s="637"/>
      <c r="C4112" s="637"/>
      <c r="D4112" s="637"/>
      <c r="E4112" s="637"/>
      <c r="F4112" s="637"/>
      <c r="G4112" s="637"/>
      <c r="H4112" s="637"/>
      <c r="I4112" s="637"/>
      <c r="J4112" s="637"/>
    </row>
    <row r="4113" spans="1:10" x14ac:dyDescent="0.2">
      <c r="A4113" s="626"/>
      <c r="B4113" s="637"/>
      <c r="C4113" s="637"/>
      <c r="D4113" s="637"/>
      <c r="E4113" s="637"/>
      <c r="F4113" s="637"/>
      <c r="G4113" s="637"/>
      <c r="H4113" s="637"/>
      <c r="I4113" s="637"/>
      <c r="J4113" s="637"/>
    </row>
    <row r="4114" spans="1:10" x14ac:dyDescent="0.2">
      <c r="A4114" s="626"/>
      <c r="B4114" s="637"/>
      <c r="C4114" s="637"/>
      <c r="D4114" s="637"/>
      <c r="E4114" s="637"/>
      <c r="F4114" s="637"/>
      <c r="G4114" s="637"/>
      <c r="H4114" s="637"/>
      <c r="I4114" s="637"/>
      <c r="J4114" s="637"/>
    </row>
    <row r="4115" spans="1:10" x14ac:dyDescent="0.2">
      <c r="A4115" s="626"/>
      <c r="B4115" s="637"/>
      <c r="C4115" s="637"/>
      <c r="D4115" s="637"/>
      <c r="E4115" s="637"/>
      <c r="F4115" s="637"/>
      <c r="G4115" s="637"/>
      <c r="H4115" s="637"/>
      <c r="I4115" s="637"/>
      <c r="J4115" s="637"/>
    </row>
    <row r="4116" spans="1:10" x14ac:dyDescent="0.2">
      <c r="A4116" s="626"/>
      <c r="B4116" s="637"/>
      <c r="C4116" s="637"/>
      <c r="D4116" s="637"/>
      <c r="E4116" s="637"/>
      <c r="F4116" s="637"/>
      <c r="G4116" s="637"/>
      <c r="H4116" s="637"/>
      <c r="I4116" s="637"/>
      <c r="J4116" s="637"/>
    </row>
    <row r="4117" spans="1:10" x14ac:dyDescent="0.2">
      <c r="A4117" s="626"/>
      <c r="B4117" s="637"/>
      <c r="C4117" s="637"/>
      <c r="D4117" s="637"/>
      <c r="E4117" s="637"/>
      <c r="F4117" s="637"/>
      <c r="G4117" s="637"/>
      <c r="H4117" s="637"/>
      <c r="I4117" s="637"/>
      <c r="J4117" s="637"/>
    </row>
    <row r="4118" spans="1:10" x14ac:dyDescent="0.2">
      <c r="A4118" s="626"/>
      <c r="B4118" s="637"/>
      <c r="C4118" s="637"/>
      <c r="D4118" s="637"/>
      <c r="E4118" s="637"/>
      <c r="F4118" s="637"/>
      <c r="G4118" s="637"/>
      <c r="H4118" s="637"/>
      <c r="I4118" s="637"/>
      <c r="J4118" s="637"/>
    </row>
    <row r="4119" spans="1:10" x14ac:dyDescent="0.2">
      <c r="A4119" s="626"/>
      <c r="B4119" s="637"/>
      <c r="C4119" s="637"/>
      <c r="D4119" s="637"/>
      <c r="E4119" s="637"/>
      <c r="F4119" s="637"/>
      <c r="G4119" s="637"/>
      <c r="H4119" s="637"/>
      <c r="I4119" s="637"/>
      <c r="J4119" s="637"/>
    </row>
    <row r="4120" spans="1:10" x14ac:dyDescent="0.2">
      <c r="A4120" s="626"/>
      <c r="B4120" s="637"/>
      <c r="C4120" s="637"/>
      <c r="D4120" s="637"/>
      <c r="E4120" s="637"/>
      <c r="F4120" s="637"/>
      <c r="G4120" s="637"/>
      <c r="H4120" s="637"/>
      <c r="I4120" s="637"/>
      <c r="J4120" s="637"/>
    </row>
    <row r="4121" spans="1:10" x14ac:dyDescent="0.2">
      <c r="A4121" s="626"/>
      <c r="B4121" s="637"/>
      <c r="C4121" s="637"/>
      <c r="D4121" s="637"/>
      <c r="E4121" s="637"/>
      <c r="F4121" s="637"/>
      <c r="G4121" s="637"/>
      <c r="H4121" s="637"/>
      <c r="I4121" s="637"/>
      <c r="J4121" s="637"/>
    </row>
    <row r="4122" spans="1:10" x14ac:dyDescent="0.2">
      <c r="A4122" s="626"/>
      <c r="B4122" s="637"/>
      <c r="C4122" s="637"/>
      <c r="D4122" s="637"/>
      <c r="E4122" s="637"/>
      <c r="F4122" s="637"/>
      <c r="G4122" s="637"/>
      <c r="H4122" s="637"/>
      <c r="I4122" s="637"/>
      <c r="J4122" s="637"/>
    </row>
    <row r="4123" spans="1:10" x14ac:dyDescent="0.2">
      <c r="A4123" s="626"/>
      <c r="B4123" s="637"/>
      <c r="C4123" s="637"/>
      <c r="D4123" s="637"/>
      <c r="E4123" s="637"/>
      <c r="F4123" s="637"/>
      <c r="G4123" s="637"/>
      <c r="H4123" s="637"/>
      <c r="I4123" s="637"/>
      <c r="J4123" s="637"/>
    </row>
    <row r="4124" spans="1:10" x14ac:dyDescent="0.2">
      <c r="A4124" s="626"/>
      <c r="B4124" s="637"/>
      <c r="C4124" s="637"/>
      <c r="D4124" s="637"/>
      <c r="E4124" s="637"/>
      <c r="F4124" s="637"/>
      <c r="G4124" s="637"/>
      <c r="H4124" s="637"/>
      <c r="I4124" s="637"/>
      <c r="J4124" s="637"/>
    </row>
    <row r="4125" spans="1:10" x14ac:dyDescent="0.2">
      <c r="A4125" s="626"/>
      <c r="B4125" s="637"/>
      <c r="C4125" s="637"/>
      <c r="D4125" s="637"/>
      <c r="E4125" s="637"/>
      <c r="F4125" s="637"/>
      <c r="G4125" s="637"/>
      <c r="H4125" s="637"/>
      <c r="I4125" s="637"/>
      <c r="J4125" s="637"/>
    </row>
    <row r="4126" spans="1:10" x14ac:dyDescent="0.2">
      <c r="A4126" s="626"/>
      <c r="B4126" s="637"/>
      <c r="C4126" s="637"/>
      <c r="D4126" s="637"/>
      <c r="E4126" s="637"/>
      <c r="F4126" s="637"/>
      <c r="G4126" s="637"/>
      <c r="H4126" s="637"/>
      <c r="I4126" s="637"/>
      <c r="J4126" s="637"/>
    </row>
    <row r="4127" spans="1:10" x14ac:dyDescent="0.2">
      <c r="A4127" s="626"/>
      <c r="B4127" s="637"/>
      <c r="C4127" s="637"/>
      <c r="D4127" s="637"/>
      <c r="E4127" s="637"/>
      <c r="F4127" s="637"/>
      <c r="G4127" s="637"/>
      <c r="H4127" s="637"/>
      <c r="I4127" s="637"/>
      <c r="J4127" s="637"/>
    </row>
    <row r="4128" spans="1:10" x14ac:dyDescent="0.2">
      <c r="A4128" s="626"/>
      <c r="B4128" s="637"/>
      <c r="C4128" s="637"/>
      <c r="D4128" s="637"/>
      <c r="E4128" s="637"/>
      <c r="F4128" s="637"/>
      <c r="G4128" s="637"/>
      <c r="H4128" s="637"/>
      <c r="I4128" s="637"/>
      <c r="J4128" s="637"/>
    </row>
    <row r="4129" spans="1:10" x14ac:dyDescent="0.2">
      <c r="A4129" s="626"/>
      <c r="B4129" s="637"/>
      <c r="C4129" s="637"/>
      <c r="D4129" s="637"/>
      <c r="E4129" s="637"/>
      <c r="F4129" s="637"/>
      <c r="G4129" s="637"/>
      <c r="H4129" s="637"/>
      <c r="I4129" s="637"/>
      <c r="J4129" s="637"/>
    </row>
    <row r="4130" spans="1:10" x14ac:dyDescent="0.2">
      <c r="A4130" s="626"/>
      <c r="B4130" s="637"/>
      <c r="C4130" s="637"/>
      <c r="D4130" s="637"/>
      <c r="E4130" s="637"/>
      <c r="F4130" s="637"/>
      <c r="G4130" s="637"/>
      <c r="H4130" s="637"/>
      <c r="I4130" s="637"/>
      <c r="J4130" s="637"/>
    </row>
    <row r="4131" spans="1:10" x14ac:dyDescent="0.2">
      <c r="A4131" s="626"/>
      <c r="B4131" s="637"/>
      <c r="C4131" s="637"/>
      <c r="D4131" s="637"/>
      <c r="E4131" s="637"/>
      <c r="F4131" s="637"/>
      <c r="G4131" s="637"/>
      <c r="H4131" s="637"/>
      <c r="I4131" s="637"/>
      <c r="J4131" s="637"/>
    </row>
    <row r="4132" spans="1:10" x14ac:dyDescent="0.2">
      <c r="A4132" s="626"/>
      <c r="B4132" s="637"/>
      <c r="C4132" s="637"/>
      <c r="D4132" s="637"/>
      <c r="E4132" s="637"/>
      <c r="F4132" s="637"/>
      <c r="G4132" s="637"/>
      <c r="H4132" s="637"/>
      <c r="I4132" s="637"/>
      <c r="J4132" s="637"/>
    </row>
    <row r="4133" spans="1:10" x14ac:dyDescent="0.2">
      <c r="A4133" s="626"/>
      <c r="B4133" s="637"/>
      <c r="C4133" s="637"/>
      <c r="D4133" s="637"/>
      <c r="E4133" s="637"/>
      <c r="F4133" s="637"/>
      <c r="G4133" s="637"/>
      <c r="H4133" s="637"/>
      <c r="I4133" s="637"/>
      <c r="J4133" s="637"/>
    </row>
    <row r="4134" spans="1:10" x14ac:dyDescent="0.2">
      <c r="A4134" s="626"/>
      <c r="B4134" s="637"/>
      <c r="C4134" s="637"/>
      <c r="D4134" s="637"/>
      <c r="E4134" s="637"/>
      <c r="F4134" s="637"/>
      <c r="G4134" s="637"/>
      <c r="H4134" s="637"/>
      <c r="I4134" s="637"/>
      <c r="J4134" s="637"/>
    </row>
    <row r="4135" spans="1:10" x14ac:dyDescent="0.2">
      <c r="A4135" s="626"/>
      <c r="B4135" s="637"/>
      <c r="C4135" s="637"/>
      <c r="D4135" s="637"/>
      <c r="E4135" s="637"/>
      <c r="F4135" s="637"/>
      <c r="G4135" s="637"/>
      <c r="H4135" s="637"/>
      <c r="I4135" s="637"/>
      <c r="J4135" s="637"/>
    </row>
    <row r="4136" spans="1:10" x14ac:dyDescent="0.2">
      <c r="A4136" s="626"/>
      <c r="B4136" s="637"/>
      <c r="C4136" s="637"/>
      <c r="D4136" s="637"/>
      <c r="E4136" s="637"/>
      <c r="F4136" s="637"/>
      <c r="G4136" s="637"/>
      <c r="H4136" s="637"/>
      <c r="I4136" s="637"/>
      <c r="J4136" s="637"/>
    </row>
    <row r="4137" spans="1:10" x14ac:dyDescent="0.2">
      <c r="A4137" s="626"/>
      <c r="B4137" s="637"/>
      <c r="C4137" s="637"/>
      <c r="D4137" s="637"/>
      <c r="E4137" s="637"/>
      <c r="F4137" s="637"/>
      <c r="G4137" s="637"/>
      <c r="H4137" s="637"/>
      <c r="I4137" s="637"/>
      <c r="J4137" s="637"/>
    </row>
    <row r="4138" spans="1:10" x14ac:dyDescent="0.2">
      <c r="A4138" s="626"/>
      <c r="B4138" s="637"/>
      <c r="C4138" s="637"/>
      <c r="D4138" s="637"/>
      <c r="E4138" s="637"/>
      <c r="F4138" s="637"/>
      <c r="G4138" s="637"/>
      <c r="H4138" s="637"/>
      <c r="I4138" s="637"/>
      <c r="J4138" s="637"/>
    </row>
    <row r="4139" spans="1:10" x14ac:dyDescent="0.2">
      <c r="A4139" s="626"/>
      <c r="B4139" s="637"/>
      <c r="C4139" s="637"/>
      <c r="D4139" s="637"/>
      <c r="E4139" s="637"/>
      <c r="F4139" s="637"/>
      <c r="G4139" s="637"/>
      <c r="H4139" s="637"/>
      <c r="I4139" s="637"/>
      <c r="J4139" s="637"/>
    </row>
    <row r="4140" spans="1:10" x14ac:dyDescent="0.2">
      <c r="A4140" s="626"/>
      <c r="B4140" s="637"/>
      <c r="C4140" s="637"/>
      <c r="D4140" s="637"/>
      <c r="E4140" s="637"/>
      <c r="F4140" s="637"/>
      <c r="G4140" s="637"/>
      <c r="H4140" s="637"/>
      <c r="I4140" s="637"/>
      <c r="J4140" s="637"/>
    </row>
    <row r="4141" spans="1:10" x14ac:dyDescent="0.2">
      <c r="A4141" s="626"/>
      <c r="B4141" s="637"/>
      <c r="C4141" s="637"/>
      <c r="D4141" s="637"/>
      <c r="E4141" s="637"/>
      <c r="F4141" s="637"/>
      <c r="G4141" s="637"/>
      <c r="H4141" s="637"/>
      <c r="I4141" s="637"/>
      <c r="J4141" s="637"/>
    </row>
    <row r="4142" spans="1:10" x14ac:dyDescent="0.2">
      <c r="A4142" s="626"/>
      <c r="B4142" s="637"/>
      <c r="C4142" s="637"/>
      <c r="D4142" s="637"/>
      <c r="E4142" s="637"/>
      <c r="F4142" s="637"/>
      <c r="G4142" s="637"/>
      <c r="H4142" s="637"/>
      <c r="I4142" s="637"/>
      <c r="J4142" s="637"/>
    </row>
    <row r="4143" spans="1:10" x14ac:dyDescent="0.2">
      <c r="A4143" s="626"/>
      <c r="B4143" s="637"/>
      <c r="C4143" s="637"/>
      <c r="D4143" s="637"/>
      <c r="E4143" s="637"/>
      <c r="F4143" s="637"/>
      <c r="G4143" s="637"/>
      <c r="H4143" s="637"/>
      <c r="I4143" s="637"/>
      <c r="J4143" s="637"/>
    </row>
    <row r="4144" spans="1:10" x14ac:dyDescent="0.2">
      <c r="A4144" s="626"/>
      <c r="B4144" s="637"/>
      <c r="C4144" s="637"/>
      <c r="D4144" s="637"/>
      <c r="E4144" s="637"/>
      <c r="F4144" s="637"/>
      <c r="G4144" s="637"/>
      <c r="H4144" s="637"/>
      <c r="I4144" s="637"/>
      <c r="J4144" s="637"/>
    </row>
    <row r="4145" spans="1:10" x14ac:dyDescent="0.2">
      <c r="A4145" s="626"/>
      <c r="B4145" s="637"/>
      <c r="C4145" s="637"/>
      <c r="D4145" s="637"/>
      <c r="E4145" s="637"/>
      <c r="F4145" s="637"/>
      <c r="G4145" s="637"/>
      <c r="H4145" s="637"/>
      <c r="I4145" s="637"/>
      <c r="J4145" s="637"/>
    </row>
    <row r="4146" spans="1:10" x14ac:dyDescent="0.2">
      <c r="A4146" s="626"/>
      <c r="B4146" s="637"/>
      <c r="C4146" s="637"/>
      <c r="D4146" s="637"/>
      <c r="E4146" s="637"/>
      <c r="F4146" s="637"/>
      <c r="G4146" s="637"/>
      <c r="H4146" s="637"/>
      <c r="I4146" s="637"/>
      <c r="J4146" s="637"/>
    </row>
    <row r="4147" spans="1:10" x14ac:dyDescent="0.2">
      <c r="A4147" s="626"/>
      <c r="B4147" s="637"/>
      <c r="C4147" s="637"/>
      <c r="D4147" s="637"/>
      <c r="E4147" s="637"/>
      <c r="F4147" s="637"/>
      <c r="G4147" s="637"/>
      <c r="H4147" s="637"/>
      <c r="I4147" s="637"/>
      <c r="J4147" s="637"/>
    </row>
    <row r="4148" spans="1:10" x14ac:dyDescent="0.2">
      <c r="A4148" s="626"/>
      <c r="B4148" s="637"/>
      <c r="C4148" s="637"/>
      <c r="D4148" s="637"/>
      <c r="E4148" s="637"/>
      <c r="F4148" s="637"/>
      <c r="G4148" s="637"/>
      <c r="H4148" s="637"/>
      <c r="I4148" s="637"/>
      <c r="J4148" s="637"/>
    </row>
    <row r="4149" spans="1:10" x14ac:dyDescent="0.2">
      <c r="A4149" s="626"/>
      <c r="B4149" s="637"/>
      <c r="C4149" s="637"/>
      <c r="D4149" s="637"/>
      <c r="E4149" s="637"/>
      <c r="F4149" s="637"/>
      <c r="G4149" s="637"/>
      <c r="H4149" s="637"/>
      <c r="I4149" s="637"/>
      <c r="J4149" s="637"/>
    </row>
    <row r="4150" spans="1:10" x14ac:dyDescent="0.2">
      <c r="A4150" s="626"/>
      <c r="B4150" s="637"/>
      <c r="C4150" s="637"/>
      <c r="D4150" s="637"/>
      <c r="E4150" s="637"/>
      <c r="F4150" s="637"/>
      <c r="G4150" s="637"/>
      <c r="H4150" s="637"/>
      <c r="I4150" s="637"/>
      <c r="J4150" s="637"/>
    </row>
    <row r="4151" spans="1:10" x14ac:dyDescent="0.2">
      <c r="A4151" s="626"/>
      <c r="B4151" s="637"/>
      <c r="C4151" s="637"/>
      <c r="D4151" s="637"/>
      <c r="E4151" s="637"/>
      <c r="F4151" s="637"/>
      <c r="G4151" s="637"/>
      <c r="H4151" s="637"/>
      <c r="I4151" s="637"/>
      <c r="J4151" s="637"/>
    </row>
    <row r="4152" spans="1:10" x14ac:dyDescent="0.2">
      <c r="A4152" s="626"/>
      <c r="B4152" s="637"/>
      <c r="C4152" s="637"/>
      <c r="D4152" s="637"/>
      <c r="E4152" s="637"/>
      <c r="F4152" s="637"/>
      <c r="G4152" s="637"/>
      <c r="H4152" s="637"/>
      <c r="I4152" s="637"/>
      <c r="J4152" s="637"/>
    </row>
    <row r="4153" spans="1:10" x14ac:dyDescent="0.2">
      <c r="A4153" s="626"/>
      <c r="B4153" s="637"/>
      <c r="C4153" s="637"/>
      <c r="D4153" s="637"/>
      <c r="E4153" s="637"/>
      <c r="F4153" s="637"/>
      <c r="G4153" s="637"/>
      <c r="H4153" s="637"/>
      <c r="I4153" s="637"/>
      <c r="J4153" s="637"/>
    </row>
    <row r="4154" spans="1:10" x14ac:dyDescent="0.2">
      <c r="A4154" s="626"/>
      <c r="B4154" s="637"/>
      <c r="C4154" s="637"/>
      <c r="D4154" s="637"/>
      <c r="E4154" s="637"/>
      <c r="F4154" s="637"/>
      <c r="G4154" s="637"/>
      <c r="H4154" s="637"/>
      <c r="I4154" s="637"/>
      <c r="J4154" s="637"/>
    </row>
    <row r="4155" spans="1:10" x14ac:dyDescent="0.2">
      <c r="A4155" s="626"/>
      <c r="B4155" s="637"/>
      <c r="C4155" s="637"/>
      <c r="D4155" s="637"/>
      <c r="E4155" s="637"/>
      <c r="F4155" s="637"/>
      <c r="G4155" s="637"/>
      <c r="H4155" s="637"/>
      <c r="I4155" s="637"/>
      <c r="J4155" s="637"/>
    </row>
    <row r="4156" spans="1:10" x14ac:dyDescent="0.2">
      <c r="A4156" s="626"/>
      <c r="B4156" s="637"/>
      <c r="C4156" s="637"/>
      <c r="D4156" s="637"/>
      <c r="E4156" s="637"/>
      <c r="F4156" s="637"/>
      <c r="G4156" s="637"/>
      <c r="H4156" s="637"/>
      <c r="I4156" s="637"/>
      <c r="J4156" s="637"/>
    </row>
    <row r="4157" spans="1:10" x14ac:dyDescent="0.2">
      <c r="A4157" s="626"/>
      <c r="B4157" s="637"/>
      <c r="C4157" s="637"/>
      <c r="D4157" s="637"/>
      <c r="E4157" s="637"/>
      <c r="F4157" s="637"/>
      <c r="G4157" s="637"/>
      <c r="H4157" s="637"/>
      <c r="I4157" s="637"/>
      <c r="J4157" s="637"/>
    </row>
    <row r="4158" spans="1:10" x14ac:dyDescent="0.2">
      <c r="A4158" s="626"/>
      <c r="B4158" s="637"/>
      <c r="C4158" s="637"/>
      <c r="D4158" s="637"/>
      <c r="E4158" s="637"/>
      <c r="F4158" s="637"/>
      <c r="G4158" s="637"/>
      <c r="H4158" s="637"/>
      <c r="I4158" s="637"/>
      <c r="J4158" s="637"/>
    </row>
    <row r="4159" spans="1:10" x14ac:dyDescent="0.2">
      <c r="A4159" s="626"/>
      <c r="B4159" s="637"/>
      <c r="C4159" s="637"/>
      <c r="D4159" s="637"/>
      <c r="E4159" s="637"/>
      <c r="F4159" s="637"/>
      <c r="G4159" s="637"/>
      <c r="H4159" s="637"/>
      <c r="I4159" s="637"/>
      <c r="J4159" s="637"/>
    </row>
    <row r="4160" spans="1:10" x14ac:dyDescent="0.2">
      <c r="A4160" s="626"/>
      <c r="B4160" s="637"/>
      <c r="C4160" s="637"/>
      <c r="D4160" s="637"/>
      <c r="E4160" s="637"/>
      <c r="F4160" s="637"/>
      <c r="G4160" s="637"/>
      <c r="H4160" s="637"/>
      <c r="I4160" s="637"/>
      <c r="J4160" s="637"/>
    </row>
    <row r="4161" spans="1:10" x14ac:dyDescent="0.2">
      <c r="A4161" s="626"/>
      <c r="B4161" s="637"/>
      <c r="C4161" s="637"/>
      <c r="D4161" s="637"/>
      <c r="E4161" s="637"/>
      <c r="F4161" s="637"/>
      <c r="G4161" s="637"/>
      <c r="H4161" s="637"/>
      <c r="I4161" s="637"/>
      <c r="J4161" s="637"/>
    </row>
    <row r="4162" spans="1:10" x14ac:dyDescent="0.2">
      <c r="A4162" s="626"/>
      <c r="B4162" s="637"/>
      <c r="C4162" s="637"/>
      <c r="D4162" s="637"/>
      <c r="E4162" s="637"/>
      <c r="F4162" s="637"/>
      <c r="G4162" s="637"/>
      <c r="H4162" s="637"/>
      <c r="I4162" s="637"/>
      <c r="J4162" s="637"/>
    </row>
    <row r="4163" spans="1:10" x14ac:dyDescent="0.2">
      <c r="A4163" s="626"/>
      <c r="B4163" s="637"/>
      <c r="C4163" s="637"/>
      <c r="D4163" s="637"/>
      <c r="E4163" s="637"/>
      <c r="F4163" s="637"/>
      <c r="G4163" s="637"/>
      <c r="H4163" s="637"/>
      <c r="I4163" s="637"/>
      <c r="J4163" s="637"/>
    </row>
    <row r="4164" spans="1:10" x14ac:dyDescent="0.2">
      <c r="A4164" s="626"/>
      <c r="B4164" s="637"/>
      <c r="C4164" s="637"/>
      <c r="D4164" s="637"/>
      <c r="E4164" s="637"/>
      <c r="F4164" s="637"/>
      <c r="G4164" s="637"/>
      <c r="H4164" s="637"/>
      <c r="I4164" s="637"/>
      <c r="J4164" s="637"/>
    </row>
    <row r="4165" spans="1:10" x14ac:dyDescent="0.2">
      <c r="A4165" s="626"/>
      <c r="B4165" s="637"/>
      <c r="C4165" s="637"/>
      <c r="D4165" s="637"/>
      <c r="E4165" s="637"/>
      <c r="F4165" s="637"/>
      <c r="G4165" s="637"/>
      <c r="H4165" s="637"/>
      <c r="I4165" s="637"/>
      <c r="J4165" s="637"/>
    </row>
    <row r="4166" spans="1:10" x14ac:dyDescent="0.2">
      <c r="A4166" s="626"/>
      <c r="B4166" s="637"/>
      <c r="C4166" s="637"/>
      <c r="D4166" s="637"/>
      <c r="E4166" s="637"/>
      <c r="F4166" s="637"/>
      <c r="G4166" s="637"/>
      <c r="H4166" s="637"/>
      <c r="I4166" s="637"/>
      <c r="J4166" s="637"/>
    </row>
    <row r="4167" spans="1:10" x14ac:dyDescent="0.2">
      <c r="A4167" s="626"/>
      <c r="B4167" s="637"/>
      <c r="C4167" s="637"/>
      <c r="D4167" s="637"/>
      <c r="E4167" s="637"/>
      <c r="F4167" s="637"/>
      <c r="G4167" s="637"/>
      <c r="H4167" s="637"/>
      <c r="I4167" s="637"/>
      <c r="J4167" s="637"/>
    </row>
    <row r="4168" spans="1:10" x14ac:dyDescent="0.2">
      <c r="A4168" s="626"/>
      <c r="B4168" s="637"/>
      <c r="C4168" s="637"/>
      <c r="D4168" s="637"/>
      <c r="E4168" s="637"/>
      <c r="F4168" s="637"/>
      <c r="G4168" s="637"/>
      <c r="H4168" s="637"/>
      <c r="I4168" s="637"/>
      <c r="J4168" s="637"/>
    </row>
    <row r="4169" spans="1:10" x14ac:dyDescent="0.2">
      <c r="A4169" s="626"/>
      <c r="B4169" s="637"/>
      <c r="C4169" s="637"/>
      <c r="D4169" s="637"/>
      <c r="E4169" s="637"/>
      <c r="F4169" s="637"/>
      <c r="G4169" s="637"/>
      <c r="H4169" s="637"/>
      <c r="I4169" s="637"/>
      <c r="J4169" s="637"/>
    </row>
    <row r="4170" spans="1:10" x14ac:dyDescent="0.2">
      <c r="A4170" s="626"/>
      <c r="B4170" s="637"/>
      <c r="C4170" s="637"/>
      <c r="D4170" s="637"/>
      <c r="E4170" s="637"/>
      <c r="F4170" s="637"/>
      <c r="G4170" s="637"/>
      <c r="H4170" s="637"/>
      <c r="I4170" s="637"/>
      <c r="J4170" s="637"/>
    </row>
    <row r="4171" spans="1:10" x14ac:dyDescent="0.2">
      <c r="A4171" s="626"/>
      <c r="B4171" s="637"/>
      <c r="C4171" s="637"/>
      <c r="D4171" s="637"/>
      <c r="E4171" s="637"/>
      <c r="F4171" s="637"/>
      <c r="G4171" s="637"/>
      <c r="H4171" s="637"/>
      <c r="I4171" s="637"/>
      <c r="J4171" s="637"/>
    </row>
    <row r="4172" spans="1:10" x14ac:dyDescent="0.2">
      <c r="A4172" s="626"/>
      <c r="B4172" s="637"/>
      <c r="C4172" s="637"/>
      <c r="D4172" s="637"/>
      <c r="E4172" s="637"/>
      <c r="F4172" s="637"/>
      <c r="G4172" s="637"/>
      <c r="H4172" s="637"/>
      <c r="I4172" s="637"/>
      <c r="J4172" s="637"/>
    </row>
    <row r="4173" spans="1:10" x14ac:dyDescent="0.2">
      <c r="A4173" s="626"/>
      <c r="B4173" s="637"/>
      <c r="C4173" s="637"/>
      <c r="D4173" s="637"/>
      <c r="E4173" s="637"/>
      <c r="F4173" s="637"/>
      <c r="G4173" s="637"/>
      <c r="H4173" s="637"/>
      <c r="I4173" s="637"/>
      <c r="J4173" s="637"/>
    </row>
    <row r="4174" spans="1:10" x14ac:dyDescent="0.2">
      <c r="A4174" s="626"/>
      <c r="B4174" s="637"/>
      <c r="C4174" s="637"/>
      <c r="D4174" s="637"/>
      <c r="E4174" s="637"/>
      <c r="F4174" s="637"/>
      <c r="G4174" s="637"/>
      <c r="H4174" s="637"/>
      <c r="I4174" s="637"/>
      <c r="J4174" s="637"/>
    </row>
    <row r="4175" spans="1:10" x14ac:dyDescent="0.2">
      <c r="A4175" s="626"/>
      <c r="B4175" s="637"/>
      <c r="C4175" s="637"/>
      <c r="D4175" s="637"/>
      <c r="E4175" s="637"/>
      <c r="F4175" s="637"/>
      <c r="G4175" s="637"/>
      <c r="H4175" s="637"/>
      <c r="I4175" s="637"/>
      <c r="J4175" s="637"/>
    </row>
    <row r="4176" spans="1:10" x14ac:dyDescent="0.2">
      <c r="A4176" s="626"/>
      <c r="B4176" s="637"/>
      <c r="C4176" s="637"/>
      <c r="D4176" s="637"/>
      <c r="E4176" s="637"/>
      <c r="F4176" s="637"/>
      <c r="G4176" s="637"/>
      <c r="H4176" s="637"/>
      <c r="I4176" s="637"/>
      <c r="J4176" s="637"/>
    </row>
    <row r="4177" spans="1:10" x14ac:dyDescent="0.2">
      <c r="A4177" s="626"/>
      <c r="B4177" s="637"/>
      <c r="C4177" s="637"/>
      <c r="D4177" s="637"/>
      <c r="E4177" s="637"/>
      <c r="F4177" s="637"/>
      <c r="G4177" s="637"/>
      <c r="H4177" s="637"/>
      <c r="I4177" s="637"/>
      <c r="J4177" s="637"/>
    </row>
    <row r="4178" spans="1:10" x14ac:dyDescent="0.2">
      <c r="A4178" s="626"/>
      <c r="B4178" s="637"/>
      <c r="C4178" s="637"/>
      <c r="D4178" s="637"/>
      <c r="E4178" s="637"/>
      <c r="F4178" s="637"/>
      <c r="G4178" s="637"/>
      <c r="H4178" s="637"/>
      <c r="I4178" s="637"/>
      <c r="J4178" s="637"/>
    </row>
    <row r="4179" spans="1:10" x14ac:dyDescent="0.2">
      <c r="A4179" s="626"/>
      <c r="B4179" s="637"/>
      <c r="C4179" s="637"/>
      <c r="D4179" s="637"/>
      <c r="E4179" s="637"/>
      <c r="F4179" s="637"/>
      <c r="G4179" s="637"/>
      <c r="H4179" s="637"/>
      <c r="I4179" s="637"/>
      <c r="J4179" s="637"/>
    </row>
    <row r="4180" spans="1:10" x14ac:dyDescent="0.2">
      <c r="A4180" s="626"/>
      <c r="B4180" s="637"/>
      <c r="C4180" s="637"/>
      <c r="D4180" s="637"/>
      <c r="E4180" s="637"/>
      <c r="F4180" s="637"/>
      <c r="G4180" s="637"/>
      <c r="H4180" s="637"/>
      <c r="I4180" s="637"/>
      <c r="J4180" s="637"/>
    </row>
    <row r="4181" spans="1:10" x14ac:dyDescent="0.2">
      <c r="A4181" s="626"/>
      <c r="B4181" s="637"/>
      <c r="C4181" s="637"/>
      <c r="D4181" s="637"/>
      <c r="E4181" s="637"/>
      <c r="F4181" s="637"/>
      <c r="G4181" s="637"/>
      <c r="H4181" s="637"/>
      <c r="I4181" s="637"/>
      <c r="J4181" s="637"/>
    </row>
    <row r="4182" spans="1:10" x14ac:dyDescent="0.2">
      <c r="A4182" s="626"/>
      <c r="B4182" s="637"/>
      <c r="C4182" s="637"/>
      <c r="D4182" s="637"/>
      <c r="E4182" s="637"/>
      <c r="F4182" s="637"/>
      <c r="G4182" s="637"/>
      <c r="H4182" s="637"/>
      <c r="I4182" s="637"/>
      <c r="J4182" s="637"/>
    </row>
    <row r="4183" spans="1:10" x14ac:dyDescent="0.2">
      <c r="A4183" s="626"/>
      <c r="B4183" s="637"/>
      <c r="C4183" s="637"/>
      <c r="D4183" s="637"/>
      <c r="E4183" s="637"/>
      <c r="F4183" s="637"/>
      <c r="G4183" s="637"/>
      <c r="H4183" s="637"/>
      <c r="I4183" s="637"/>
      <c r="J4183" s="637"/>
    </row>
    <row r="4184" spans="1:10" x14ac:dyDescent="0.2">
      <c r="A4184" s="626"/>
      <c r="B4184" s="637"/>
      <c r="C4184" s="637"/>
      <c r="D4184" s="637"/>
      <c r="E4184" s="637"/>
      <c r="F4184" s="637"/>
      <c r="G4184" s="637"/>
      <c r="H4184" s="637"/>
      <c r="I4184" s="637"/>
      <c r="J4184" s="637"/>
    </row>
    <row r="4185" spans="1:10" x14ac:dyDescent="0.2">
      <c r="A4185" s="626"/>
      <c r="B4185" s="637"/>
      <c r="C4185" s="637"/>
      <c r="D4185" s="637"/>
      <c r="E4185" s="637"/>
      <c r="F4185" s="637"/>
      <c r="G4185" s="637"/>
      <c r="H4185" s="637"/>
      <c r="I4185" s="637"/>
      <c r="J4185" s="637"/>
    </row>
    <row r="4186" spans="1:10" x14ac:dyDescent="0.2">
      <c r="A4186" s="626"/>
      <c r="B4186" s="637"/>
      <c r="C4186" s="637"/>
      <c r="D4186" s="637"/>
      <c r="E4186" s="637"/>
      <c r="F4186" s="637"/>
      <c r="G4186" s="637"/>
      <c r="H4186" s="637"/>
      <c r="I4186" s="637"/>
      <c r="J4186" s="637"/>
    </row>
    <row r="4187" spans="1:10" x14ac:dyDescent="0.2">
      <c r="A4187" s="626"/>
      <c r="B4187" s="637"/>
      <c r="C4187" s="637"/>
      <c r="D4187" s="637"/>
      <c r="E4187" s="637"/>
      <c r="F4187" s="637"/>
      <c r="G4187" s="637"/>
      <c r="H4187" s="637"/>
      <c r="I4187" s="637"/>
      <c r="J4187" s="637"/>
    </row>
    <row r="4188" spans="1:10" x14ac:dyDescent="0.2">
      <c r="A4188" s="626"/>
      <c r="B4188" s="637"/>
      <c r="C4188" s="637"/>
      <c r="D4188" s="637"/>
      <c r="E4188" s="637"/>
      <c r="F4188" s="637"/>
      <c r="G4188" s="637"/>
      <c r="H4188" s="637"/>
      <c r="I4188" s="637"/>
      <c r="J4188" s="637"/>
    </row>
    <row r="4189" spans="1:10" x14ac:dyDescent="0.2">
      <c r="A4189" s="626"/>
      <c r="B4189" s="637"/>
      <c r="C4189" s="637"/>
      <c r="D4189" s="637"/>
      <c r="E4189" s="637"/>
      <c r="F4189" s="637"/>
      <c r="G4189" s="637"/>
      <c r="H4189" s="637"/>
      <c r="I4189" s="637"/>
      <c r="J4189" s="637"/>
    </row>
    <row r="4190" spans="1:10" x14ac:dyDescent="0.2">
      <c r="A4190" s="626"/>
      <c r="B4190" s="637"/>
      <c r="C4190" s="637"/>
      <c r="D4190" s="637"/>
      <c r="E4190" s="637"/>
      <c r="F4190" s="637"/>
      <c r="G4190" s="637"/>
      <c r="H4190" s="637"/>
      <c r="I4190" s="637"/>
      <c r="J4190" s="637"/>
    </row>
    <row r="4191" spans="1:10" x14ac:dyDescent="0.2">
      <c r="A4191" s="626"/>
      <c r="B4191" s="637"/>
      <c r="C4191" s="637"/>
      <c r="D4191" s="637"/>
      <c r="E4191" s="637"/>
      <c r="F4191" s="637"/>
      <c r="G4191" s="637"/>
      <c r="H4191" s="637"/>
      <c r="I4191" s="637"/>
      <c r="J4191" s="637"/>
    </row>
    <row r="4192" spans="1:10" x14ac:dyDescent="0.2">
      <c r="A4192" s="626"/>
      <c r="B4192" s="637"/>
      <c r="C4192" s="637"/>
      <c r="D4192" s="637"/>
      <c r="E4192" s="637"/>
      <c r="F4192" s="637"/>
      <c r="G4192" s="637"/>
      <c r="H4192" s="637"/>
      <c r="I4192" s="637"/>
      <c r="J4192" s="637"/>
    </row>
    <row r="4193" spans="1:10" x14ac:dyDescent="0.2">
      <c r="A4193" s="626"/>
      <c r="B4193" s="637"/>
      <c r="C4193" s="637"/>
      <c r="D4193" s="637"/>
      <c r="E4193" s="637"/>
      <c r="F4193" s="637"/>
      <c r="G4193" s="637"/>
      <c r="H4193" s="637"/>
      <c r="I4193" s="637"/>
      <c r="J4193" s="637"/>
    </row>
    <row r="4194" spans="1:10" x14ac:dyDescent="0.2">
      <c r="A4194" s="626"/>
      <c r="B4194" s="637"/>
      <c r="C4194" s="637"/>
      <c r="D4194" s="637"/>
      <c r="E4194" s="637"/>
      <c r="F4194" s="637"/>
      <c r="G4194" s="637"/>
      <c r="H4194" s="637"/>
      <c r="I4194" s="637"/>
      <c r="J4194" s="637"/>
    </row>
    <row r="4195" spans="1:10" x14ac:dyDescent="0.2">
      <c r="A4195" s="626"/>
      <c r="B4195" s="637"/>
      <c r="C4195" s="637"/>
      <c r="D4195" s="637"/>
      <c r="E4195" s="637"/>
      <c r="F4195" s="637"/>
      <c r="G4195" s="637"/>
      <c r="H4195" s="637"/>
      <c r="I4195" s="637"/>
      <c r="J4195" s="637"/>
    </row>
    <row r="4196" spans="1:10" x14ac:dyDescent="0.2">
      <c r="A4196" s="626"/>
      <c r="B4196" s="637"/>
      <c r="C4196" s="637"/>
      <c r="D4196" s="637"/>
      <c r="E4196" s="637"/>
      <c r="F4196" s="637"/>
      <c r="G4196" s="637"/>
      <c r="H4196" s="637"/>
      <c r="I4196" s="637"/>
      <c r="J4196" s="637"/>
    </row>
    <row r="4197" spans="1:10" x14ac:dyDescent="0.2">
      <c r="A4197" s="626"/>
      <c r="B4197" s="637"/>
      <c r="C4197" s="637"/>
      <c r="D4197" s="637"/>
      <c r="E4197" s="637"/>
      <c r="F4197" s="637"/>
      <c r="G4197" s="637"/>
      <c r="H4197" s="637"/>
      <c r="I4197" s="637"/>
      <c r="J4197" s="637"/>
    </row>
    <row r="4198" spans="1:10" x14ac:dyDescent="0.2">
      <c r="A4198" s="626"/>
      <c r="B4198" s="637"/>
      <c r="C4198" s="637"/>
      <c r="D4198" s="637"/>
      <c r="E4198" s="637"/>
      <c r="F4198" s="637"/>
      <c r="G4198" s="637"/>
      <c r="H4198" s="637"/>
      <c r="I4198" s="637"/>
      <c r="J4198" s="637"/>
    </row>
    <row r="4199" spans="1:10" x14ac:dyDescent="0.2">
      <c r="A4199" s="626"/>
      <c r="B4199" s="637"/>
      <c r="C4199" s="637"/>
      <c r="D4199" s="637"/>
      <c r="E4199" s="637"/>
      <c r="F4199" s="637"/>
      <c r="G4199" s="637"/>
      <c r="H4199" s="637"/>
      <c r="I4199" s="637"/>
      <c r="J4199" s="637"/>
    </row>
    <row r="4200" spans="1:10" x14ac:dyDescent="0.2">
      <c r="A4200" s="626"/>
      <c r="B4200" s="637"/>
      <c r="C4200" s="637"/>
      <c r="D4200" s="637"/>
      <c r="E4200" s="637"/>
      <c r="F4200" s="637"/>
      <c r="G4200" s="637"/>
      <c r="H4200" s="637"/>
      <c r="I4200" s="637"/>
      <c r="J4200" s="637"/>
    </row>
    <row r="4201" spans="1:10" x14ac:dyDescent="0.2">
      <c r="A4201" s="626"/>
      <c r="B4201" s="637"/>
      <c r="C4201" s="637"/>
      <c r="D4201" s="637"/>
      <c r="E4201" s="637"/>
      <c r="F4201" s="637"/>
      <c r="G4201" s="637"/>
      <c r="H4201" s="637"/>
      <c r="I4201" s="637"/>
      <c r="J4201" s="637"/>
    </row>
    <row r="4202" spans="1:10" x14ac:dyDescent="0.2">
      <c r="A4202" s="626"/>
      <c r="B4202" s="637"/>
      <c r="C4202" s="637"/>
      <c r="D4202" s="637"/>
      <c r="E4202" s="637"/>
      <c r="F4202" s="637"/>
      <c r="G4202" s="637"/>
      <c r="H4202" s="637"/>
      <c r="I4202" s="637"/>
      <c r="J4202" s="637"/>
    </row>
    <row r="4203" spans="1:10" x14ac:dyDescent="0.2">
      <c r="A4203" s="626"/>
      <c r="B4203" s="637"/>
      <c r="C4203" s="637"/>
      <c r="D4203" s="637"/>
      <c r="E4203" s="637"/>
      <c r="F4203" s="637"/>
      <c r="G4203" s="637"/>
      <c r="H4203" s="637"/>
      <c r="I4203" s="637"/>
      <c r="J4203" s="637"/>
    </row>
    <row r="4204" spans="1:10" x14ac:dyDescent="0.2">
      <c r="A4204" s="626"/>
      <c r="B4204" s="637"/>
      <c r="C4204" s="637"/>
      <c r="D4204" s="637"/>
      <c r="E4204" s="637"/>
      <c r="F4204" s="637"/>
      <c r="G4204" s="637"/>
      <c r="H4204" s="637"/>
      <c r="I4204" s="637"/>
      <c r="J4204" s="637"/>
    </row>
    <row r="4205" spans="1:10" x14ac:dyDescent="0.2">
      <c r="A4205" s="626"/>
      <c r="B4205" s="637"/>
      <c r="C4205" s="637"/>
      <c r="D4205" s="637"/>
      <c r="E4205" s="637"/>
      <c r="F4205" s="637"/>
      <c r="G4205" s="637"/>
      <c r="H4205" s="637"/>
      <c r="I4205" s="637"/>
      <c r="J4205" s="637"/>
    </row>
    <row r="4206" spans="1:10" x14ac:dyDescent="0.2">
      <c r="A4206" s="626"/>
      <c r="B4206" s="637"/>
      <c r="C4206" s="637"/>
      <c r="D4206" s="637"/>
      <c r="E4206" s="637"/>
      <c r="F4206" s="637"/>
      <c r="G4206" s="637"/>
      <c r="H4206" s="637"/>
      <c r="I4206" s="637"/>
      <c r="J4206" s="637"/>
    </row>
    <row r="4207" spans="1:10" x14ac:dyDescent="0.2">
      <c r="A4207" s="626"/>
      <c r="B4207" s="637"/>
      <c r="C4207" s="637"/>
      <c r="D4207" s="637"/>
      <c r="E4207" s="637"/>
      <c r="F4207" s="637"/>
      <c r="G4207" s="637"/>
      <c r="H4207" s="637"/>
      <c r="I4207" s="637"/>
      <c r="J4207" s="637"/>
    </row>
    <row r="4208" spans="1:10" x14ac:dyDescent="0.2">
      <c r="A4208" s="626"/>
      <c r="B4208" s="637"/>
      <c r="C4208" s="637"/>
      <c r="D4208" s="637"/>
      <c r="E4208" s="637"/>
      <c r="F4208" s="637"/>
      <c r="G4208" s="637"/>
      <c r="H4208" s="637"/>
      <c r="I4208" s="637"/>
      <c r="J4208" s="637"/>
    </row>
    <row r="4209" spans="1:10" x14ac:dyDescent="0.2">
      <c r="A4209" s="626"/>
      <c r="B4209" s="637"/>
      <c r="C4209" s="637"/>
      <c r="D4209" s="637"/>
      <c r="E4209" s="637"/>
      <c r="F4209" s="637"/>
      <c r="G4209" s="637"/>
      <c r="H4209" s="637"/>
      <c r="I4209" s="637"/>
      <c r="J4209" s="637"/>
    </row>
    <row r="4210" spans="1:10" x14ac:dyDescent="0.2">
      <c r="A4210" s="626"/>
      <c r="B4210" s="637"/>
      <c r="C4210" s="637"/>
      <c r="D4210" s="637"/>
      <c r="E4210" s="637"/>
      <c r="F4210" s="637"/>
      <c r="G4210" s="637"/>
      <c r="H4210" s="637"/>
      <c r="I4210" s="637"/>
      <c r="J4210" s="637"/>
    </row>
    <row r="4211" spans="1:10" x14ac:dyDescent="0.2">
      <c r="A4211" s="626"/>
      <c r="B4211" s="637"/>
      <c r="C4211" s="637"/>
      <c r="D4211" s="637"/>
      <c r="E4211" s="637"/>
      <c r="F4211" s="637"/>
      <c r="G4211" s="637"/>
      <c r="H4211" s="637"/>
      <c r="I4211" s="637"/>
      <c r="J4211" s="637"/>
    </row>
    <row r="4212" spans="1:10" x14ac:dyDescent="0.2">
      <c r="A4212" s="626"/>
      <c r="B4212" s="637"/>
      <c r="C4212" s="637"/>
      <c r="D4212" s="637"/>
      <c r="E4212" s="637"/>
      <c r="F4212" s="637"/>
      <c r="G4212" s="637"/>
      <c r="H4212" s="637"/>
      <c r="I4212" s="637"/>
      <c r="J4212" s="637"/>
    </row>
    <row r="4213" spans="1:10" x14ac:dyDescent="0.2">
      <c r="A4213" s="626"/>
      <c r="B4213" s="637"/>
      <c r="C4213" s="637"/>
      <c r="D4213" s="637"/>
      <c r="E4213" s="637"/>
      <c r="F4213" s="637"/>
      <c r="G4213" s="637"/>
      <c r="H4213" s="637"/>
      <c r="I4213" s="637"/>
      <c r="J4213" s="637"/>
    </row>
    <row r="4214" spans="1:10" x14ac:dyDescent="0.2">
      <c r="A4214" s="626"/>
      <c r="B4214" s="637"/>
      <c r="C4214" s="637"/>
      <c r="D4214" s="637"/>
      <c r="E4214" s="637"/>
      <c r="F4214" s="637"/>
      <c r="G4214" s="637"/>
      <c r="H4214" s="637"/>
      <c r="I4214" s="637"/>
      <c r="J4214" s="637"/>
    </row>
    <row r="4215" spans="1:10" x14ac:dyDescent="0.2">
      <c r="A4215" s="626"/>
      <c r="B4215" s="637"/>
      <c r="C4215" s="637"/>
      <c r="D4215" s="637"/>
      <c r="E4215" s="637"/>
      <c r="F4215" s="637"/>
      <c r="G4215" s="637"/>
      <c r="H4215" s="637"/>
      <c r="I4215" s="637"/>
      <c r="J4215" s="637"/>
    </row>
    <row r="4216" spans="1:10" x14ac:dyDescent="0.2">
      <c r="A4216" s="626"/>
      <c r="B4216" s="637"/>
      <c r="C4216" s="637"/>
      <c r="D4216" s="637"/>
      <c r="E4216" s="637"/>
      <c r="F4216" s="637"/>
      <c r="G4216" s="637"/>
      <c r="H4216" s="637"/>
      <c r="I4216" s="637"/>
      <c r="J4216" s="637"/>
    </row>
    <row r="4217" spans="1:10" x14ac:dyDescent="0.2">
      <c r="A4217" s="626"/>
      <c r="B4217" s="637"/>
      <c r="C4217" s="637"/>
      <c r="D4217" s="637"/>
      <c r="E4217" s="637"/>
      <c r="F4217" s="637"/>
      <c r="G4217" s="637"/>
      <c r="H4217" s="637"/>
      <c r="I4217" s="637"/>
      <c r="J4217" s="637"/>
    </row>
    <row r="4218" spans="1:10" x14ac:dyDescent="0.2">
      <c r="A4218" s="626"/>
      <c r="B4218" s="637"/>
      <c r="C4218" s="637"/>
      <c r="D4218" s="637"/>
      <c r="E4218" s="637"/>
      <c r="F4218" s="637"/>
      <c r="G4218" s="637"/>
      <c r="H4218" s="637"/>
      <c r="I4218" s="637"/>
      <c r="J4218" s="637"/>
    </row>
    <row r="4219" spans="1:10" x14ac:dyDescent="0.2">
      <c r="A4219" s="626"/>
      <c r="B4219" s="637"/>
      <c r="C4219" s="637"/>
      <c r="D4219" s="637"/>
      <c r="E4219" s="637"/>
      <c r="F4219" s="637"/>
      <c r="G4219" s="637"/>
      <c r="H4219" s="637"/>
      <c r="I4219" s="637"/>
      <c r="J4219" s="637"/>
    </row>
    <row r="4220" spans="1:10" x14ac:dyDescent="0.2">
      <c r="A4220" s="626"/>
      <c r="B4220" s="637"/>
      <c r="C4220" s="637"/>
      <c r="D4220" s="637"/>
      <c r="E4220" s="637"/>
      <c r="F4220" s="637"/>
      <c r="G4220" s="637"/>
      <c r="H4220" s="637"/>
      <c r="I4220" s="637"/>
      <c r="J4220" s="637"/>
    </row>
    <row r="4221" spans="1:10" x14ac:dyDescent="0.2">
      <c r="A4221" s="626"/>
      <c r="B4221" s="637"/>
      <c r="C4221" s="637"/>
      <c r="D4221" s="637"/>
      <c r="E4221" s="637"/>
      <c r="F4221" s="637"/>
      <c r="G4221" s="637"/>
      <c r="H4221" s="637"/>
      <c r="I4221" s="637"/>
      <c r="J4221" s="637"/>
    </row>
    <row r="4222" spans="1:10" x14ac:dyDescent="0.2">
      <c r="A4222" s="626"/>
      <c r="B4222" s="637"/>
      <c r="C4222" s="637"/>
      <c r="D4222" s="637"/>
      <c r="E4222" s="637"/>
      <c r="F4222" s="637"/>
      <c r="G4222" s="637"/>
      <c r="H4222" s="637"/>
      <c r="I4222" s="637"/>
      <c r="J4222" s="637"/>
    </row>
    <row r="4223" spans="1:10" x14ac:dyDescent="0.2">
      <c r="A4223" s="626"/>
      <c r="B4223" s="637"/>
      <c r="C4223" s="637"/>
      <c r="D4223" s="637"/>
      <c r="E4223" s="637"/>
      <c r="F4223" s="637"/>
      <c r="G4223" s="637"/>
      <c r="H4223" s="637"/>
      <c r="I4223" s="637"/>
      <c r="J4223" s="637"/>
    </row>
    <row r="4224" spans="1:10" x14ac:dyDescent="0.2">
      <c r="A4224" s="626"/>
      <c r="B4224" s="637"/>
      <c r="C4224" s="637"/>
      <c r="D4224" s="637"/>
      <c r="E4224" s="637"/>
      <c r="F4224" s="637"/>
      <c r="G4224" s="637"/>
      <c r="H4224" s="637"/>
      <c r="I4224" s="637"/>
      <c r="J4224" s="637"/>
    </row>
    <row r="4225" spans="1:10" x14ac:dyDescent="0.2">
      <c r="A4225" s="626"/>
      <c r="B4225" s="637"/>
      <c r="C4225" s="637"/>
      <c r="D4225" s="637"/>
      <c r="E4225" s="637"/>
      <c r="F4225" s="637"/>
      <c r="G4225" s="637"/>
      <c r="H4225" s="637"/>
      <c r="I4225" s="637"/>
      <c r="J4225" s="637"/>
    </row>
    <row r="4226" spans="1:10" x14ac:dyDescent="0.2">
      <c r="A4226" s="626"/>
      <c r="B4226" s="637"/>
      <c r="C4226" s="637"/>
      <c r="D4226" s="637"/>
      <c r="E4226" s="637"/>
      <c r="F4226" s="637"/>
      <c r="G4226" s="637"/>
      <c r="H4226" s="637"/>
      <c r="I4226" s="637"/>
      <c r="J4226" s="637"/>
    </row>
    <row r="4227" spans="1:10" x14ac:dyDescent="0.2">
      <c r="A4227" s="626"/>
      <c r="B4227" s="637"/>
      <c r="C4227" s="637"/>
      <c r="D4227" s="637"/>
      <c r="E4227" s="637"/>
      <c r="F4227" s="637"/>
      <c r="G4227" s="637"/>
      <c r="H4227" s="637"/>
      <c r="I4227" s="637"/>
      <c r="J4227" s="637"/>
    </row>
    <row r="4228" spans="1:10" x14ac:dyDescent="0.2">
      <c r="A4228" s="626"/>
      <c r="B4228" s="637"/>
      <c r="C4228" s="637"/>
      <c r="D4228" s="637"/>
      <c r="E4228" s="637"/>
      <c r="F4228" s="637"/>
      <c r="G4228" s="637"/>
      <c r="H4228" s="637"/>
      <c r="I4228" s="637"/>
      <c r="J4228" s="637"/>
    </row>
    <row r="4229" spans="1:10" x14ac:dyDescent="0.2">
      <c r="A4229" s="626"/>
      <c r="B4229" s="637"/>
      <c r="C4229" s="637"/>
      <c r="D4229" s="637"/>
      <c r="E4229" s="637"/>
      <c r="F4229" s="637"/>
      <c r="G4229" s="637"/>
      <c r="H4229" s="637"/>
      <c r="I4229" s="637"/>
      <c r="J4229" s="637"/>
    </row>
    <row r="4230" spans="1:10" x14ac:dyDescent="0.2">
      <c r="A4230" s="626"/>
      <c r="B4230" s="637"/>
      <c r="C4230" s="637"/>
      <c r="D4230" s="637"/>
      <c r="E4230" s="637"/>
      <c r="F4230" s="637"/>
      <c r="G4230" s="637"/>
      <c r="H4230" s="637"/>
      <c r="I4230" s="637"/>
      <c r="J4230" s="637"/>
    </row>
    <row r="4231" spans="1:10" x14ac:dyDescent="0.2">
      <c r="A4231" s="626"/>
      <c r="B4231" s="637"/>
      <c r="C4231" s="637"/>
      <c r="D4231" s="637"/>
      <c r="E4231" s="637"/>
      <c r="F4231" s="637"/>
      <c r="G4231" s="637"/>
      <c r="H4231" s="637"/>
      <c r="I4231" s="637"/>
      <c r="J4231" s="637"/>
    </row>
    <row r="4232" spans="1:10" x14ac:dyDescent="0.2">
      <c r="A4232" s="626"/>
      <c r="B4232" s="637"/>
      <c r="C4232" s="637"/>
      <c r="D4232" s="637"/>
      <c r="E4232" s="637"/>
      <c r="F4232" s="637"/>
      <c r="G4232" s="637"/>
      <c r="H4232" s="637"/>
      <c r="I4232" s="637"/>
      <c r="J4232" s="637"/>
    </row>
    <row r="4233" spans="1:10" x14ac:dyDescent="0.2">
      <c r="A4233" s="626"/>
      <c r="B4233" s="637"/>
      <c r="C4233" s="637"/>
      <c r="D4233" s="637"/>
      <c r="E4233" s="637"/>
      <c r="F4233" s="637"/>
      <c r="G4233" s="637"/>
      <c r="H4233" s="637"/>
      <c r="I4233" s="637"/>
      <c r="J4233" s="637"/>
    </row>
    <row r="4234" spans="1:10" x14ac:dyDescent="0.2">
      <c r="A4234" s="626"/>
      <c r="B4234" s="637"/>
      <c r="C4234" s="637"/>
      <c r="D4234" s="637"/>
      <c r="E4234" s="637"/>
      <c r="F4234" s="637"/>
      <c r="G4234" s="637"/>
      <c r="H4234" s="637"/>
      <c r="I4234" s="637"/>
      <c r="J4234" s="637"/>
    </row>
    <row r="4235" spans="1:10" x14ac:dyDescent="0.2">
      <c r="A4235" s="626"/>
      <c r="B4235" s="637"/>
      <c r="C4235" s="637"/>
      <c r="D4235" s="637"/>
      <c r="E4235" s="637"/>
      <c r="F4235" s="637"/>
      <c r="G4235" s="637"/>
      <c r="H4235" s="637"/>
      <c r="I4235" s="637"/>
      <c r="J4235" s="637"/>
    </row>
    <row r="4236" spans="1:10" x14ac:dyDescent="0.2">
      <c r="A4236" s="626"/>
      <c r="B4236" s="637"/>
      <c r="C4236" s="637"/>
      <c r="D4236" s="637"/>
      <c r="E4236" s="637"/>
      <c r="F4236" s="637"/>
      <c r="G4236" s="637"/>
      <c r="H4236" s="637"/>
      <c r="I4236" s="637"/>
      <c r="J4236" s="637"/>
    </row>
    <row r="4237" spans="1:10" x14ac:dyDescent="0.2">
      <c r="A4237" s="626"/>
      <c r="B4237" s="637"/>
      <c r="C4237" s="637"/>
      <c r="D4237" s="637"/>
      <c r="E4237" s="637"/>
      <c r="F4237" s="637"/>
      <c r="G4237" s="637"/>
      <c r="H4237" s="637"/>
      <c r="I4237" s="637"/>
      <c r="J4237" s="637"/>
    </row>
    <row r="4238" spans="1:10" x14ac:dyDescent="0.2">
      <c r="A4238" s="626"/>
      <c r="B4238" s="637"/>
      <c r="C4238" s="637"/>
      <c r="D4238" s="637"/>
      <c r="E4238" s="637"/>
      <c r="F4238" s="637"/>
      <c r="G4238" s="637"/>
      <c r="H4238" s="637"/>
      <c r="I4238" s="637"/>
      <c r="J4238" s="637"/>
    </row>
    <row r="4239" spans="1:10" x14ac:dyDescent="0.2">
      <c r="A4239" s="626"/>
      <c r="B4239" s="637"/>
      <c r="C4239" s="637"/>
      <c r="D4239" s="637"/>
      <c r="E4239" s="637"/>
      <c r="F4239" s="637"/>
      <c r="G4239" s="637"/>
      <c r="H4239" s="637"/>
      <c r="I4239" s="637"/>
      <c r="J4239" s="637"/>
    </row>
    <row r="4240" spans="1:10" x14ac:dyDescent="0.2">
      <c r="A4240" s="626"/>
      <c r="B4240" s="637"/>
      <c r="C4240" s="637"/>
      <c r="D4240" s="637"/>
      <c r="E4240" s="637"/>
      <c r="F4240" s="637"/>
      <c r="G4240" s="637"/>
      <c r="H4240" s="637"/>
      <c r="I4240" s="637"/>
      <c r="J4240" s="637"/>
    </row>
    <row r="4241" spans="1:10" x14ac:dyDescent="0.2">
      <c r="A4241" s="626"/>
      <c r="B4241" s="637"/>
      <c r="C4241" s="637"/>
      <c r="D4241" s="637"/>
      <c r="E4241" s="637"/>
      <c r="F4241" s="637"/>
      <c r="G4241" s="637"/>
      <c r="H4241" s="637"/>
      <c r="I4241" s="637"/>
      <c r="J4241" s="637"/>
    </row>
    <row r="4242" spans="1:10" x14ac:dyDescent="0.2">
      <c r="A4242" s="626"/>
      <c r="B4242" s="637"/>
      <c r="C4242" s="637"/>
      <c r="D4242" s="637"/>
      <c r="E4242" s="637"/>
      <c r="F4242" s="637"/>
      <c r="G4242" s="637"/>
      <c r="H4242" s="637"/>
      <c r="I4242" s="637"/>
      <c r="J4242" s="637"/>
    </row>
    <row r="4243" spans="1:10" x14ac:dyDescent="0.2">
      <c r="A4243" s="626"/>
      <c r="B4243" s="637"/>
      <c r="C4243" s="637"/>
      <c r="D4243" s="637"/>
      <c r="E4243" s="637"/>
      <c r="F4243" s="637"/>
      <c r="G4243" s="637"/>
      <c r="H4243" s="637"/>
      <c r="I4243" s="637"/>
      <c r="J4243" s="637"/>
    </row>
    <row r="4244" spans="1:10" x14ac:dyDescent="0.2">
      <c r="A4244" s="626"/>
      <c r="B4244" s="637"/>
      <c r="C4244" s="637"/>
      <c r="D4244" s="637"/>
      <c r="E4244" s="637"/>
      <c r="F4244" s="637"/>
      <c r="G4244" s="637"/>
      <c r="H4244" s="637"/>
      <c r="I4244" s="637"/>
      <c r="J4244" s="637"/>
    </row>
    <row r="4245" spans="1:10" x14ac:dyDescent="0.2">
      <c r="A4245" s="626"/>
      <c r="B4245" s="637"/>
      <c r="C4245" s="637"/>
      <c r="D4245" s="637"/>
      <c r="E4245" s="637"/>
      <c r="F4245" s="637"/>
      <c r="G4245" s="637"/>
      <c r="H4245" s="637"/>
      <c r="I4245" s="637"/>
      <c r="J4245" s="637"/>
    </row>
    <row r="4246" spans="1:10" x14ac:dyDescent="0.2">
      <c r="A4246" s="626"/>
      <c r="B4246" s="637"/>
      <c r="C4246" s="637"/>
      <c r="D4246" s="637"/>
      <c r="E4246" s="637"/>
      <c r="F4246" s="637"/>
      <c r="G4246" s="637"/>
      <c r="H4246" s="637"/>
      <c r="I4246" s="637"/>
      <c r="J4246" s="637"/>
    </row>
    <row r="4247" spans="1:10" x14ac:dyDescent="0.2">
      <c r="A4247" s="626"/>
      <c r="B4247" s="637"/>
      <c r="C4247" s="637"/>
      <c r="D4247" s="637"/>
      <c r="E4247" s="637"/>
      <c r="F4247" s="637"/>
      <c r="G4247" s="637"/>
      <c r="H4247" s="637"/>
      <c r="I4247" s="637"/>
      <c r="J4247" s="637"/>
    </row>
    <row r="4248" spans="1:10" x14ac:dyDescent="0.2">
      <c r="A4248" s="626"/>
      <c r="B4248" s="637"/>
      <c r="C4248" s="637"/>
      <c r="D4248" s="637"/>
      <c r="E4248" s="637"/>
      <c r="F4248" s="637"/>
      <c r="G4248" s="637"/>
      <c r="H4248" s="637"/>
      <c r="I4248" s="637"/>
      <c r="J4248" s="637"/>
    </row>
    <row r="4249" spans="1:10" x14ac:dyDescent="0.2">
      <c r="A4249" s="626"/>
      <c r="B4249" s="637"/>
      <c r="C4249" s="637"/>
      <c r="D4249" s="637"/>
      <c r="E4249" s="637"/>
      <c r="F4249" s="637"/>
      <c r="G4249" s="637"/>
      <c r="H4249" s="637"/>
      <c r="I4249" s="637"/>
      <c r="J4249" s="637"/>
    </row>
    <row r="4250" spans="1:10" x14ac:dyDescent="0.2">
      <c r="A4250" s="626"/>
      <c r="B4250" s="637"/>
      <c r="C4250" s="637"/>
      <c r="D4250" s="637"/>
      <c r="E4250" s="637"/>
      <c r="F4250" s="637"/>
      <c r="G4250" s="637"/>
      <c r="H4250" s="637"/>
      <c r="I4250" s="637"/>
      <c r="J4250" s="637"/>
    </row>
    <row r="4251" spans="1:10" x14ac:dyDescent="0.2">
      <c r="A4251" s="626"/>
      <c r="B4251" s="637"/>
      <c r="C4251" s="637"/>
      <c r="D4251" s="637"/>
      <c r="E4251" s="637"/>
      <c r="F4251" s="637"/>
      <c r="G4251" s="637"/>
      <c r="H4251" s="637"/>
      <c r="I4251" s="637"/>
      <c r="J4251" s="637"/>
    </row>
    <row r="4252" spans="1:10" x14ac:dyDescent="0.2">
      <c r="A4252" s="626"/>
      <c r="B4252" s="637"/>
      <c r="C4252" s="637"/>
      <c r="D4252" s="637"/>
      <c r="E4252" s="637"/>
      <c r="F4252" s="637"/>
      <c r="G4252" s="637"/>
      <c r="H4252" s="637"/>
      <c r="I4252" s="637"/>
      <c r="J4252" s="637"/>
    </row>
    <row r="4253" spans="1:10" x14ac:dyDescent="0.2">
      <c r="A4253" s="626"/>
      <c r="B4253" s="637"/>
      <c r="C4253" s="637"/>
      <c r="D4253" s="637"/>
      <c r="E4253" s="637"/>
      <c r="F4253" s="637"/>
      <c r="G4253" s="637"/>
      <c r="H4253" s="637"/>
      <c r="I4253" s="637"/>
      <c r="J4253" s="637"/>
    </row>
    <row r="4254" spans="1:10" x14ac:dyDescent="0.2">
      <c r="A4254" s="626"/>
      <c r="B4254" s="637"/>
      <c r="C4254" s="637"/>
      <c r="D4254" s="637"/>
      <c r="E4254" s="637"/>
      <c r="F4254" s="637"/>
      <c r="G4254" s="637"/>
      <c r="H4254" s="637"/>
      <c r="I4254" s="637"/>
      <c r="J4254" s="637"/>
    </row>
    <row r="4255" spans="1:10" x14ac:dyDescent="0.2">
      <c r="A4255" s="626"/>
      <c r="B4255" s="637"/>
      <c r="C4255" s="637"/>
      <c r="D4255" s="637"/>
      <c r="E4255" s="637"/>
      <c r="F4255" s="637"/>
      <c r="G4255" s="637"/>
      <c r="H4255" s="637"/>
      <c r="I4255" s="637"/>
      <c r="J4255" s="637"/>
    </row>
    <row r="4256" spans="1:10" x14ac:dyDescent="0.2">
      <c r="A4256" s="626"/>
      <c r="B4256" s="637"/>
      <c r="C4256" s="637"/>
      <c r="D4256" s="637"/>
      <c r="E4256" s="637"/>
      <c r="F4256" s="637"/>
      <c r="G4256" s="637"/>
      <c r="H4256" s="637"/>
      <c r="I4256" s="637"/>
      <c r="J4256" s="637"/>
    </row>
    <row r="4257" spans="1:10" x14ac:dyDescent="0.2">
      <c r="A4257" s="626"/>
      <c r="B4257" s="637"/>
      <c r="C4257" s="637"/>
      <c r="D4257" s="637"/>
      <c r="E4257" s="637"/>
      <c r="F4257" s="637"/>
      <c r="G4257" s="637"/>
      <c r="H4257" s="637"/>
      <c r="I4257" s="637"/>
      <c r="J4257" s="637"/>
    </row>
    <row r="4258" spans="1:10" x14ac:dyDescent="0.2">
      <c r="A4258" s="626"/>
      <c r="B4258" s="637"/>
      <c r="C4258" s="637"/>
      <c r="D4258" s="637"/>
      <c r="E4258" s="637"/>
      <c r="F4258" s="637"/>
      <c r="G4258" s="637"/>
      <c r="H4258" s="637"/>
      <c r="I4258" s="637"/>
      <c r="J4258" s="637"/>
    </row>
    <row r="4259" spans="1:10" x14ac:dyDescent="0.2">
      <c r="A4259" s="626"/>
      <c r="B4259" s="637"/>
      <c r="C4259" s="637"/>
      <c r="D4259" s="637"/>
      <c r="E4259" s="637"/>
      <c r="F4259" s="637"/>
      <c r="G4259" s="637"/>
      <c r="H4259" s="637"/>
      <c r="I4259" s="637"/>
      <c r="J4259" s="637"/>
    </row>
    <row r="4260" spans="1:10" x14ac:dyDescent="0.2">
      <c r="A4260" s="626"/>
      <c r="B4260" s="637"/>
      <c r="C4260" s="637"/>
      <c r="D4260" s="637"/>
      <c r="E4260" s="637"/>
      <c r="F4260" s="637"/>
      <c r="G4260" s="637"/>
      <c r="H4260" s="637"/>
      <c r="I4260" s="637"/>
      <c r="J4260" s="637"/>
    </row>
    <row r="4261" spans="1:10" x14ac:dyDescent="0.2">
      <c r="A4261" s="626"/>
      <c r="B4261" s="637"/>
      <c r="C4261" s="637"/>
      <c r="D4261" s="637"/>
      <c r="E4261" s="637"/>
      <c r="F4261" s="637"/>
      <c r="G4261" s="637"/>
      <c r="H4261" s="637"/>
      <c r="I4261" s="637"/>
      <c r="J4261" s="637"/>
    </row>
    <row r="4262" spans="1:10" x14ac:dyDescent="0.2">
      <c r="A4262" s="626"/>
      <c r="B4262" s="637"/>
      <c r="C4262" s="637"/>
      <c r="D4262" s="637"/>
      <c r="E4262" s="637"/>
      <c r="F4262" s="637"/>
      <c r="G4262" s="637"/>
      <c r="H4262" s="637"/>
      <c r="I4262" s="637"/>
      <c r="J4262" s="637"/>
    </row>
    <row r="4263" spans="1:10" x14ac:dyDescent="0.2">
      <c r="A4263" s="626"/>
      <c r="B4263" s="637"/>
      <c r="C4263" s="637"/>
      <c r="D4263" s="637"/>
      <c r="E4263" s="637"/>
      <c r="F4263" s="637"/>
      <c r="G4263" s="637"/>
      <c r="H4263" s="637"/>
      <c r="I4263" s="637"/>
      <c r="J4263" s="637"/>
    </row>
    <row r="4264" spans="1:10" x14ac:dyDescent="0.2">
      <c r="A4264" s="626"/>
      <c r="B4264" s="637"/>
      <c r="C4264" s="637"/>
      <c r="D4264" s="637"/>
      <c r="E4264" s="637"/>
      <c r="F4264" s="637"/>
      <c r="G4264" s="637"/>
      <c r="H4264" s="637"/>
      <c r="I4264" s="637"/>
      <c r="J4264" s="637"/>
    </row>
    <row r="4265" spans="1:10" x14ac:dyDescent="0.2">
      <c r="A4265" s="626"/>
      <c r="B4265" s="637"/>
      <c r="C4265" s="637"/>
      <c r="D4265" s="637"/>
      <c r="E4265" s="637"/>
      <c r="F4265" s="637"/>
      <c r="G4265" s="637"/>
      <c r="H4265" s="637"/>
      <c r="I4265" s="637"/>
      <c r="J4265" s="637"/>
    </row>
    <row r="4266" spans="1:10" x14ac:dyDescent="0.2">
      <c r="A4266" s="626"/>
      <c r="B4266" s="637"/>
      <c r="C4266" s="637"/>
      <c r="D4266" s="637"/>
      <c r="E4266" s="637"/>
      <c r="F4266" s="637"/>
      <c r="G4266" s="637"/>
      <c r="H4266" s="637"/>
      <c r="I4266" s="637"/>
      <c r="J4266" s="637"/>
    </row>
    <row r="4267" spans="1:10" x14ac:dyDescent="0.2">
      <c r="A4267" s="626"/>
      <c r="B4267" s="637"/>
      <c r="C4267" s="637"/>
      <c r="D4267" s="637"/>
      <c r="E4267" s="637"/>
      <c r="F4267" s="637"/>
      <c r="G4267" s="637"/>
      <c r="H4267" s="637"/>
      <c r="I4267" s="637"/>
      <c r="J4267" s="637"/>
    </row>
    <row r="4268" spans="1:10" x14ac:dyDescent="0.2">
      <c r="A4268" s="626"/>
      <c r="B4268" s="637"/>
      <c r="C4268" s="637"/>
      <c r="D4268" s="637"/>
      <c r="E4268" s="637"/>
      <c r="F4268" s="637"/>
      <c r="G4268" s="637"/>
      <c r="H4268" s="637"/>
      <c r="I4268" s="637"/>
      <c r="J4268" s="637"/>
    </row>
    <row r="4269" spans="1:10" x14ac:dyDescent="0.2">
      <c r="A4269" s="626"/>
      <c r="B4269" s="637"/>
      <c r="C4269" s="637"/>
      <c r="D4269" s="637"/>
      <c r="E4269" s="637"/>
      <c r="F4269" s="637"/>
      <c r="G4269" s="637"/>
      <c r="H4269" s="637"/>
      <c r="I4269" s="637"/>
      <c r="J4269" s="637"/>
    </row>
    <row r="4270" spans="1:10" x14ac:dyDescent="0.2">
      <c r="A4270" s="626"/>
      <c r="B4270" s="637"/>
      <c r="C4270" s="637"/>
      <c r="D4270" s="637"/>
      <c r="E4270" s="637"/>
      <c r="F4270" s="637"/>
      <c r="G4270" s="637"/>
      <c r="H4270" s="637"/>
      <c r="I4270" s="637"/>
      <c r="J4270" s="637"/>
    </row>
    <row r="4271" spans="1:10" x14ac:dyDescent="0.2">
      <c r="A4271" s="626"/>
      <c r="B4271" s="637"/>
      <c r="C4271" s="637"/>
      <c r="D4271" s="637"/>
      <c r="E4271" s="637"/>
      <c r="F4271" s="637"/>
      <c r="G4271" s="637"/>
      <c r="H4271" s="637"/>
      <c r="I4271" s="637"/>
      <c r="J4271" s="637"/>
    </row>
    <row r="4272" spans="1:10" x14ac:dyDescent="0.2">
      <c r="A4272" s="626"/>
      <c r="B4272" s="637"/>
      <c r="C4272" s="637"/>
      <c r="D4272" s="637"/>
      <c r="E4272" s="637"/>
      <c r="F4272" s="637"/>
      <c r="G4272" s="637"/>
      <c r="H4272" s="637"/>
      <c r="I4272" s="637"/>
      <c r="J4272" s="637"/>
    </row>
    <row r="4273" spans="1:10" x14ac:dyDescent="0.2">
      <c r="A4273" s="626"/>
      <c r="B4273" s="637"/>
      <c r="C4273" s="637"/>
      <c r="D4273" s="637"/>
      <c r="E4273" s="637"/>
      <c r="F4273" s="637"/>
      <c r="G4273" s="637"/>
      <c r="H4273" s="637"/>
      <c r="I4273" s="637"/>
      <c r="J4273" s="637"/>
    </row>
    <row r="4274" spans="1:10" x14ac:dyDescent="0.2">
      <c r="A4274" s="626"/>
      <c r="B4274" s="637"/>
      <c r="C4274" s="637"/>
      <c r="D4274" s="637"/>
      <c r="E4274" s="637"/>
      <c r="F4274" s="637"/>
      <c r="G4274" s="637"/>
      <c r="H4274" s="637"/>
      <c r="I4274" s="637"/>
      <c r="J4274" s="637"/>
    </row>
    <row r="4275" spans="1:10" x14ac:dyDescent="0.2">
      <c r="A4275" s="626"/>
      <c r="B4275" s="637"/>
      <c r="C4275" s="637"/>
      <c r="D4275" s="637"/>
      <c r="E4275" s="637"/>
      <c r="F4275" s="637"/>
      <c r="G4275" s="637"/>
      <c r="H4275" s="637"/>
      <c r="I4275" s="637"/>
      <c r="J4275" s="637"/>
    </row>
    <row r="4276" spans="1:10" x14ac:dyDescent="0.2">
      <c r="A4276" s="626"/>
      <c r="B4276" s="637"/>
      <c r="C4276" s="637"/>
      <c r="D4276" s="637"/>
      <c r="E4276" s="637"/>
      <c r="F4276" s="637"/>
      <c r="G4276" s="637"/>
      <c r="H4276" s="637"/>
      <c r="I4276" s="637"/>
      <c r="J4276" s="637"/>
    </row>
    <row r="4277" spans="1:10" x14ac:dyDescent="0.2">
      <c r="A4277" s="626"/>
      <c r="B4277" s="637"/>
      <c r="C4277" s="637"/>
      <c r="D4277" s="637"/>
      <c r="E4277" s="637"/>
      <c r="F4277" s="637"/>
      <c r="G4277" s="637"/>
      <c r="H4277" s="637"/>
      <c r="I4277" s="637"/>
      <c r="J4277" s="637"/>
    </row>
    <row r="4278" spans="1:10" x14ac:dyDescent="0.2">
      <c r="A4278" s="626"/>
      <c r="B4278" s="637"/>
      <c r="C4278" s="637"/>
      <c r="D4278" s="637"/>
      <c r="E4278" s="637"/>
      <c r="F4278" s="637"/>
      <c r="G4278" s="637"/>
      <c r="H4278" s="637"/>
      <c r="I4278" s="637"/>
      <c r="J4278" s="637"/>
    </row>
    <row r="4279" spans="1:10" x14ac:dyDescent="0.2">
      <c r="A4279" s="626"/>
      <c r="B4279" s="637"/>
      <c r="C4279" s="637"/>
      <c r="D4279" s="637"/>
      <c r="E4279" s="637"/>
      <c r="F4279" s="637"/>
      <c r="G4279" s="637"/>
      <c r="H4279" s="637"/>
      <c r="I4279" s="637"/>
      <c r="J4279" s="637"/>
    </row>
    <row r="4280" spans="1:10" x14ac:dyDescent="0.2">
      <c r="A4280" s="626"/>
      <c r="B4280" s="637"/>
      <c r="C4280" s="637"/>
      <c r="D4280" s="637"/>
      <c r="E4280" s="637"/>
      <c r="F4280" s="637"/>
      <c r="G4280" s="637"/>
      <c r="H4280" s="637"/>
      <c r="I4280" s="637"/>
      <c r="J4280" s="637"/>
    </row>
    <row r="4281" spans="1:10" x14ac:dyDescent="0.2">
      <c r="A4281" s="626"/>
      <c r="B4281" s="637"/>
      <c r="C4281" s="637"/>
      <c r="D4281" s="637"/>
      <c r="E4281" s="637"/>
      <c r="F4281" s="637"/>
      <c r="G4281" s="637"/>
      <c r="H4281" s="637"/>
      <c r="I4281" s="637"/>
      <c r="J4281" s="637"/>
    </row>
    <row r="4282" spans="1:10" x14ac:dyDescent="0.2">
      <c r="A4282" s="626"/>
      <c r="B4282" s="637"/>
      <c r="C4282" s="637"/>
      <c r="D4282" s="637"/>
      <c r="E4282" s="637"/>
      <c r="F4282" s="637"/>
      <c r="G4282" s="637"/>
      <c r="H4282" s="637"/>
      <c r="I4282" s="637"/>
      <c r="J4282" s="637"/>
    </row>
    <row r="4283" spans="1:10" x14ac:dyDescent="0.2">
      <c r="A4283" s="626"/>
      <c r="B4283" s="637"/>
      <c r="C4283" s="637"/>
      <c r="D4283" s="637"/>
      <c r="E4283" s="637"/>
      <c r="F4283" s="637"/>
      <c r="G4283" s="637"/>
      <c r="H4283" s="637"/>
      <c r="I4283" s="637"/>
      <c r="J4283" s="637"/>
    </row>
    <row r="4284" spans="1:10" x14ac:dyDescent="0.2">
      <c r="A4284" s="626"/>
      <c r="B4284" s="637"/>
      <c r="C4284" s="637"/>
      <c r="D4284" s="637"/>
      <c r="E4284" s="637"/>
      <c r="F4284" s="637"/>
      <c r="G4284" s="637"/>
      <c r="H4284" s="637"/>
      <c r="I4284" s="637"/>
      <c r="J4284" s="637"/>
    </row>
    <row r="4285" spans="1:10" x14ac:dyDescent="0.2">
      <c r="A4285" s="626"/>
      <c r="B4285" s="637"/>
      <c r="C4285" s="637"/>
      <c r="D4285" s="637"/>
      <c r="E4285" s="637"/>
      <c r="F4285" s="637"/>
      <c r="G4285" s="637"/>
      <c r="H4285" s="637"/>
      <c r="I4285" s="637"/>
      <c r="J4285" s="637"/>
    </row>
    <row r="4286" spans="1:10" x14ac:dyDescent="0.2">
      <c r="A4286" s="626"/>
      <c r="B4286" s="637"/>
      <c r="C4286" s="637"/>
      <c r="D4286" s="637"/>
      <c r="E4286" s="637"/>
      <c r="F4286" s="637"/>
      <c r="G4286" s="637"/>
      <c r="H4286" s="637"/>
      <c r="I4286" s="637"/>
      <c r="J4286" s="637"/>
    </row>
    <row r="4287" spans="1:10" x14ac:dyDescent="0.2">
      <c r="A4287" s="626"/>
      <c r="B4287" s="637"/>
      <c r="C4287" s="637"/>
      <c r="D4287" s="637"/>
      <c r="E4287" s="637"/>
      <c r="F4287" s="637"/>
      <c r="G4287" s="637"/>
      <c r="H4287" s="637"/>
      <c r="I4287" s="637"/>
      <c r="J4287" s="637"/>
    </row>
    <row r="4288" spans="1:10" x14ac:dyDescent="0.2">
      <c r="A4288" s="626"/>
      <c r="B4288" s="637"/>
      <c r="C4288" s="637"/>
      <c r="D4288" s="637"/>
      <c r="E4288" s="637"/>
      <c r="F4288" s="637"/>
      <c r="G4288" s="637"/>
      <c r="H4288" s="637"/>
      <c r="I4288" s="637"/>
      <c r="J4288" s="637"/>
    </row>
    <row r="4289" spans="1:10" x14ac:dyDescent="0.2">
      <c r="A4289" s="626"/>
      <c r="B4289" s="637"/>
      <c r="C4289" s="637"/>
      <c r="D4289" s="637"/>
      <c r="E4289" s="637"/>
      <c r="F4289" s="637"/>
      <c r="G4289" s="637"/>
      <c r="H4289" s="637"/>
      <c r="I4289" s="637"/>
      <c r="J4289" s="637"/>
    </row>
    <row r="4290" spans="1:10" x14ac:dyDescent="0.2">
      <c r="A4290" s="626"/>
      <c r="B4290" s="637"/>
      <c r="C4290" s="637"/>
      <c r="D4290" s="637"/>
      <c r="E4290" s="637"/>
      <c r="F4290" s="637"/>
      <c r="G4290" s="637"/>
      <c r="H4290" s="637"/>
      <c r="I4290" s="637"/>
      <c r="J4290" s="637"/>
    </row>
    <row r="4291" spans="1:10" x14ac:dyDescent="0.2">
      <c r="A4291" s="626"/>
      <c r="B4291" s="637"/>
      <c r="C4291" s="637"/>
      <c r="D4291" s="637"/>
      <c r="E4291" s="637"/>
      <c r="F4291" s="637"/>
      <c r="G4291" s="637"/>
      <c r="H4291" s="637"/>
      <c r="I4291" s="637"/>
      <c r="J4291" s="637"/>
    </row>
    <row r="4292" spans="1:10" x14ac:dyDescent="0.2">
      <c r="A4292" s="626"/>
      <c r="B4292" s="637"/>
      <c r="C4292" s="637"/>
      <c r="D4292" s="637"/>
      <c r="E4292" s="637"/>
      <c r="F4292" s="637"/>
      <c r="G4292" s="637"/>
      <c r="H4292" s="637"/>
      <c r="I4292" s="637"/>
      <c r="J4292" s="637"/>
    </row>
    <row r="4293" spans="1:10" x14ac:dyDescent="0.2">
      <c r="A4293" s="626"/>
      <c r="B4293" s="637"/>
      <c r="C4293" s="637"/>
      <c r="D4293" s="637"/>
      <c r="E4293" s="637"/>
      <c r="F4293" s="637"/>
      <c r="G4293" s="637"/>
      <c r="H4293" s="637"/>
      <c r="I4293" s="637"/>
      <c r="J4293" s="637"/>
    </row>
    <row r="4294" spans="1:10" x14ac:dyDescent="0.2">
      <c r="A4294" s="626"/>
      <c r="B4294" s="637"/>
      <c r="C4294" s="637"/>
      <c r="D4294" s="637"/>
      <c r="E4294" s="637"/>
      <c r="F4294" s="637"/>
      <c r="G4294" s="637"/>
      <c r="H4294" s="637"/>
      <c r="I4294" s="637"/>
      <c r="J4294" s="637"/>
    </row>
    <row r="4295" spans="1:10" x14ac:dyDescent="0.2">
      <c r="A4295" s="626"/>
      <c r="B4295" s="637"/>
      <c r="C4295" s="637"/>
      <c r="D4295" s="637"/>
      <c r="E4295" s="637"/>
      <c r="F4295" s="637"/>
      <c r="G4295" s="637"/>
      <c r="H4295" s="637"/>
      <c r="I4295" s="637"/>
      <c r="J4295" s="637"/>
    </row>
    <row r="4296" spans="1:10" x14ac:dyDescent="0.2">
      <c r="A4296" s="626"/>
      <c r="B4296" s="637"/>
      <c r="C4296" s="637"/>
      <c r="D4296" s="637"/>
      <c r="E4296" s="637"/>
      <c r="F4296" s="637"/>
      <c r="G4296" s="637"/>
      <c r="H4296" s="637"/>
      <c r="I4296" s="637"/>
      <c r="J4296" s="637"/>
    </row>
    <row r="4297" spans="1:10" x14ac:dyDescent="0.2">
      <c r="A4297" s="626"/>
      <c r="B4297" s="637"/>
      <c r="C4297" s="637"/>
      <c r="D4297" s="637"/>
      <c r="E4297" s="637"/>
      <c r="F4297" s="637"/>
      <c r="G4297" s="637"/>
      <c r="H4297" s="637"/>
      <c r="I4297" s="637"/>
      <c r="J4297" s="637"/>
    </row>
    <row r="4298" spans="1:10" x14ac:dyDescent="0.2">
      <c r="A4298" s="626"/>
      <c r="B4298" s="637"/>
      <c r="C4298" s="637"/>
      <c r="D4298" s="637"/>
      <c r="E4298" s="637"/>
      <c r="F4298" s="637"/>
      <c r="G4298" s="637"/>
      <c r="H4298" s="637"/>
      <c r="I4298" s="637"/>
      <c r="J4298" s="637"/>
    </row>
    <row r="4299" spans="1:10" x14ac:dyDescent="0.2">
      <c r="A4299" s="626"/>
      <c r="B4299" s="637"/>
      <c r="C4299" s="637"/>
      <c r="D4299" s="637"/>
      <c r="E4299" s="637"/>
      <c r="F4299" s="637"/>
      <c r="G4299" s="637"/>
      <c r="H4299" s="637"/>
      <c r="I4299" s="637"/>
      <c r="J4299" s="637"/>
    </row>
    <row r="4300" spans="1:10" x14ac:dyDescent="0.2">
      <c r="A4300" s="626"/>
      <c r="B4300" s="637"/>
      <c r="C4300" s="637"/>
      <c r="D4300" s="637"/>
      <c r="E4300" s="637"/>
      <c r="F4300" s="637"/>
      <c r="G4300" s="637"/>
      <c r="H4300" s="637"/>
      <c r="I4300" s="637"/>
      <c r="J4300" s="637"/>
    </row>
    <row r="4301" spans="1:10" x14ac:dyDescent="0.2">
      <c r="A4301" s="626"/>
      <c r="B4301" s="637"/>
      <c r="C4301" s="637"/>
      <c r="D4301" s="637"/>
      <c r="E4301" s="637"/>
      <c r="F4301" s="637"/>
      <c r="G4301" s="637"/>
      <c r="H4301" s="637"/>
      <c r="I4301" s="637"/>
      <c r="J4301" s="637"/>
    </row>
    <row r="4302" spans="1:10" x14ac:dyDescent="0.2">
      <c r="A4302" s="626"/>
      <c r="B4302" s="637"/>
      <c r="C4302" s="637"/>
      <c r="D4302" s="637"/>
      <c r="E4302" s="637"/>
      <c r="F4302" s="637"/>
      <c r="G4302" s="637"/>
      <c r="H4302" s="637"/>
      <c r="I4302" s="637"/>
      <c r="J4302" s="637"/>
    </row>
    <row r="4303" spans="1:10" x14ac:dyDescent="0.2">
      <c r="A4303" s="626"/>
      <c r="B4303" s="637"/>
      <c r="C4303" s="637"/>
      <c r="D4303" s="637"/>
      <c r="E4303" s="637"/>
      <c r="F4303" s="637"/>
      <c r="G4303" s="637"/>
      <c r="H4303" s="637"/>
      <c r="I4303" s="637"/>
      <c r="J4303" s="637"/>
    </row>
    <row r="4304" spans="1:10" x14ac:dyDescent="0.2">
      <c r="A4304" s="626"/>
      <c r="B4304" s="637"/>
      <c r="C4304" s="637"/>
      <c r="D4304" s="637"/>
      <c r="E4304" s="637"/>
      <c r="F4304" s="637"/>
      <c r="G4304" s="637"/>
      <c r="H4304" s="637"/>
      <c r="I4304" s="637"/>
      <c r="J4304" s="637"/>
    </row>
    <row r="4305" spans="1:10" x14ac:dyDescent="0.2">
      <c r="A4305" s="626"/>
      <c r="B4305" s="637"/>
      <c r="C4305" s="637"/>
      <c r="D4305" s="637"/>
      <c r="E4305" s="637"/>
      <c r="F4305" s="637"/>
      <c r="G4305" s="637"/>
      <c r="H4305" s="637"/>
      <c r="I4305" s="637"/>
      <c r="J4305" s="637"/>
    </row>
    <row r="4306" spans="1:10" x14ac:dyDescent="0.2">
      <c r="A4306" s="626"/>
      <c r="B4306" s="637"/>
      <c r="C4306" s="637"/>
      <c r="D4306" s="637"/>
      <c r="E4306" s="637"/>
      <c r="F4306" s="637"/>
      <c r="G4306" s="637"/>
      <c r="H4306" s="637"/>
      <c r="I4306" s="637"/>
      <c r="J4306" s="637"/>
    </row>
    <row r="4307" spans="1:10" x14ac:dyDescent="0.2">
      <c r="A4307" s="626"/>
      <c r="B4307" s="637"/>
      <c r="C4307" s="637"/>
      <c r="D4307" s="637"/>
      <c r="E4307" s="637"/>
      <c r="F4307" s="637"/>
      <c r="G4307" s="637"/>
      <c r="H4307" s="637"/>
      <c r="I4307" s="637"/>
      <c r="J4307" s="637"/>
    </row>
    <row r="4308" spans="1:10" x14ac:dyDescent="0.2">
      <c r="A4308" s="626"/>
      <c r="B4308" s="637"/>
      <c r="C4308" s="637"/>
      <c r="D4308" s="637"/>
      <c r="E4308" s="637"/>
      <c r="F4308" s="637"/>
      <c r="G4308" s="637"/>
      <c r="H4308" s="637"/>
      <c r="I4308" s="637"/>
      <c r="J4308" s="637"/>
    </row>
    <row r="4309" spans="1:10" x14ac:dyDescent="0.2">
      <c r="A4309" s="626"/>
      <c r="B4309" s="637"/>
      <c r="C4309" s="637"/>
      <c r="D4309" s="637"/>
      <c r="E4309" s="637"/>
      <c r="F4309" s="637"/>
      <c r="G4309" s="637"/>
      <c r="H4309" s="637"/>
      <c r="I4309" s="637"/>
      <c r="J4309" s="637"/>
    </row>
    <row r="4310" spans="1:10" x14ac:dyDescent="0.2">
      <c r="A4310" s="626"/>
      <c r="B4310" s="637"/>
      <c r="C4310" s="637"/>
      <c r="D4310" s="637"/>
      <c r="E4310" s="637"/>
      <c r="F4310" s="637"/>
      <c r="G4310" s="637"/>
      <c r="H4310" s="637"/>
      <c r="I4310" s="637"/>
      <c r="J4310" s="637"/>
    </row>
    <row r="4311" spans="1:10" x14ac:dyDescent="0.2">
      <c r="A4311" s="626"/>
      <c r="B4311" s="637"/>
      <c r="C4311" s="637"/>
      <c r="D4311" s="637"/>
      <c r="E4311" s="637"/>
      <c r="F4311" s="637"/>
      <c r="G4311" s="637"/>
      <c r="H4311" s="637"/>
      <c r="I4311" s="637"/>
      <c r="J4311" s="637"/>
    </row>
    <row r="4312" spans="1:10" x14ac:dyDescent="0.2">
      <c r="A4312" s="626"/>
      <c r="B4312" s="637"/>
      <c r="C4312" s="637"/>
      <c r="D4312" s="637"/>
      <c r="E4312" s="637"/>
      <c r="F4312" s="637"/>
      <c r="G4312" s="637"/>
      <c r="H4312" s="637"/>
      <c r="I4312" s="637"/>
      <c r="J4312" s="637"/>
    </row>
    <row r="4313" spans="1:10" x14ac:dyDescent="0.2">
      <c r="A4313" s="626"/>
      <c r="B4313" s="637"/>
      <c r="C4313" s="637"/>
      <c r="D4313" s="637"/>
      <c r="E4313" s="637"/>
      <c r="F4313" s="637"/>
      <c r="G4313" s="637"/>
      <c r="H4313" s="637"/>
      <c r="I4313" s="637"/>
      <c r="J4313" s="637"/>
    </row>
    <row r="4314" spans="1:10" x14ac:dyDescent="0.2">
      <c r="A4314" s="626"/>
      <c r="B4314" s="637"/>
      <c r="C4314" s="637"/>
      <c r="D4314" s="637"/>
      <c r="E4314" s="637"/>
      <c r="F4314" s="637"/>
      <c r="G4314" s="637"/>
      <c r="H4314" s="637"/>
      <c r="I4314" s="637"/>
      <c r="J4314" s="637"/>
    </row>
    <row r="4315" spans="1:10" x14ac:dyDescent="0.2">
      <c r="A4315" s="626"/>
      <c r="B4315" s="637"/>
      <c r="C4315" s="637"/>
      <c r="D4315" s="637"/>
      <c r="E4315" s="637"/>
      <c r="F4315" s="637"/>
      <c r="G4315" s="637"/>
      <c r="H4315" s="637"/>
      <c r="I4315" s="637"/>
      <c r="J4315" s="637"/>
    </row>
    <row r="4316" spans="1:10" x14ac:dyDescent="0.2">
      <c r="A4316" s="626"/>
      <c r="B4316" s="637"/>
      <c r="C4316" s="637"/>
      <c r="D4316" s="637"/>
      <c r="E4316" s="637"/>
      <c r="F4316" s="637"/>
      <c r="G4316" s="637"/>
      <c r="H4316" s="637"/>
      <c r="I4316" s="637"/>
      <c r="J4316" s="637"/>
    </row>
    <row r="4317" spans="1:10" x14ac:dyDescent="0.2">
      <c r="A4317" s="626"/>
      <c r="B4317" s="637"/>
      <c r="C4317" s="637"/>
      <c r="D4317" s="637"/>
      <c r="E4317" s="637"/>
      <c r="F4317" s="637"/>
      <c r="G4317" s="637"/>
      <c r="H4317" s="637"/>
      <c r="I4317" s="637"/>
      <c r="J4317" s="637"/>
    </row>
    <row r="4318" spans="1:10" x14ac:dyDescent="0.2">
      <c r="A4318" s="626"/>
      <c r="B4318" s="637"/>
      <c r="C4318" s="637"/>
      <c r="D4318" s="637"/>
      <c r="E4318" s="637"/>
      <c r="F4318" s="637"/>
      <c r="G4318" s="637"/>
      <c r="H4318" s="637"/>
      <c r="I4318" s="637"/>
      <c r="J4318" s="637"/>
    </row>
    <row r="4319" spans="1:10" x14ac:dyDescent="0.2">
      <c r="A4319" s="626"/>
      <c r="B4319" s="637"/>
      <c r="C4319" s="637"/>
      <c r="D4319" s="637"/>
      <c r="E4319" s="637"/>
      <c r="F4319" s="637"/>
      <c r="G4319" s="637"/>
      <c r="H4319" s="637"/>
      <c r="I4319" s="637"/>
      <c r="J4319" s="637"/>
    </row>
    <row r="4320" spans="1:10" x14ac:dyDescent="0.2">
      <c r="A4320" s="626"/>
      <c r="B4320" s="637"/>
      <c r="C4320" s="637"/>
      <c r="D4320" s="637"/>
      <c r="E4320" s="637"/>
      <c r="F4320" s="637"/>
      <c r="G4320" s="637"/>
      <c r="H4320" s="637"/>
      <c r="I4320" s="637"/>
      <c r="J4320" s="637"/>
    </row>
    <row r="4321" spans="1:10" x14ac:dyDescent="0.2">
      <c r="A4321" s="626"/>
      <c r="B4321" s="637"/>
      <c r="C4321" s="637"/>
      <c r="D4321" s="637"/>
      <c r="E4321" s="637"/>
      <c r="F4321" s="637"/>
      <c r="G4321" s="637"/>
      <c r="H4321" s="637"/>
      <c r="I4321" s="637"/>
      <c r="J4321" s="637"/>
    </row>
    <row r="4322" spans="1:10" x14ac:dyDescent="0.2">
      <c r="A4322" s="626"/>
      <c r="B4322" s="637"/>
      <c r="C4322" s="637"/>
      <c r="D4322" s="637"/>
      <c r="E4322" s="637"/>
      <c r="F4322" s="637"/>
      <c r="G4322" s="637"/>
      <c r="H4322" s="637"/>
      <c r="I4322" s="637"/>
      <c r="J4322" s="637"/>
    </row>
    <row r="4323" spans="1:10" x14ac:dyDescent="0.2">
      <c r="A4323" s="626"/>
      <c r="B4323" s="637"/>
      <c r="C4323" s="637"/>
      <c r="D4323" s="637"/>
      <c r="E4323" s="637"/>
      <c r="F4323" s="637"/>
      <c r="G4323" s="637"/>
      <c r="H4323" s="637"/>
      <c r="I4323" s="637"/>
      <c r="J4323" s="637"/>
    </row>
    <row r="4324" spans="1:10" x14ac:dyDescent="0.2">
      <c r="A4324" s="626"/>
      <c r="B4324" s="637"/>
      <c r="C4324" s="637"/>
      <c r="D4324" s="637"/>
      <c r="E4324" s="637"/>
      <c r="F4324" s="637"/>
      <c r="G4324" s="637"/>
      <c r="H4324" s="637"/>
      <c r="I4324" s="637"/>
      <c r="J4324" s="637"/>
    </row>
    <row r="4325" spans="1:10" x14ac:dyDescent="0.2">
      <c r="A4325" s="626"/>
      <c r="B4325" s="637"/>
      <c r="C4325" s="637"/>
      <c r="D4325" s="637"/>
      <c r="E4325" s="637"/>
      <c r="F4325" s="637"/>
      <c r="G4325" s="637"/>
      <c r="H4325" s="637"/>
      <c r="I4325" s="637"/>
      <c r="J4325" s="637"/>
    </row>
    <row r="4326" spans="1:10" x14ac:dyDescent="0.2">
      <c r="A4326" s="626"/>
      <c r="B4326" s="637"/>
      <c r="C4326" s="637"/>
      <c r="D4326" s="637"/>
      <c r="E4326" s="637"/>
      <c r="F4326" s="637"/>
      <c r="G4326" s="637"/>
      <c r="H4326" s="637"/>
      <c r="I4326" s="637"/>
      <c r="J4326" s="637"/>
    </row>
    <row r="4327" spans="1:10" x14ac:dyDescent="0.2">
      <c r="A4327" s="626"/>
      <c r="B4327" s="637"/>
      <c r="C4327" s="637"/>
      <c r="D4327" s="637"/>
      <c r="E4327" s="637"/>
      <c r="F4327" s="637"/>
      <c r="G4327" s="637"/>
      <c r="H4327" s="637"/>
      <c r="I4327" s="637"/>
      <c r="J4327" s="637"/>
    </row>
    <row r="4328" spans="1:10" x14ac:dyDescent="0.2">
      <c r="A4328" s="626"/>
      <c r="B4328" s="637"/>
      <c r="C4328" s="637"/>
      <c r="D4328" s="637"/>
      <c r="E4328" s="637"/>
      <c r="F4328" s="637"/>
      <c r="G4328" s="637"/>
      <c r="H4328" s="637"/>
      <c r="I4328" s="637"/>
      <c r="J4328" s="637"/>
    </row>
    <row r="4329" spans="1:10" x14ac:dyDescent="0.2">
      <c r="A4329" s="626"/>
      <c r="B4329" s="637"/>
      <c r="C4329" s="637"/>
      <c r="D4329" s="637"/>
      <c r="E4329" s="637"/>
      <c r="F4329" s="637"/>
      <c r="G4329" s="637"/>
      <c r="H4329" s="637"/>
      <c r="I4329" s="637"/>
      <c r="J4329" s="637"/>
    </row>
    <row r="4330" spans="1:10" x14ac:dyDescent="0.2">
      <c r="A4330" s="626"/>
      <c r="B4330" s="637"/>
      <c r="C4330" s="637"/>
      <c r="D4330" s="637"/>
      <c r="E4330" s="637"/>
      <c r="F4330" s="637"/>
      <c r="G4330" s="637"/>
      <c r="H4330" s="637"/>
      <c r="I4330" s="637"/>
      <c r="J4330" s="637"/>
    </row>
    <row r="4331" spans="1:10" x14ac:dyDescent="0.2">
      <c r="A4331" s="626"/>
      <c r="B4331" s="637"/>
      <c r="C4331" s="637"/>
      <c r="D4331" s="637"/>
      <c r="E4331" s="637"/>
      <c r="F4331" s="637"/>
      <c r="G4331" s="637"/>
      <c r="H4331" s="637"/>
      <c r="I4331" s="637"/>
      <c r="J4331" s="637"/>
    </row>
    <row r="4332" spans="1:10" x14ac:dyDescent="0.2">
      <c r="A4332" s="626"/>
      <c r="B4332" s="637"/>
      <c r="C4332" s="637"/>
      <c r="D4332" s="637"/>
      <c r="E4332" s="637"/>
      <c r="F4332" s="637"/>
      <c r="G4332" s="637"/>
      <c r="H4332" s="637"/>
      <c r="I4332" s="637"/>
      <c r="J4332" s="637"/>
    </row>
    <row r="4333" spans="1:10" x14ac:dyDescent="0.2">
      <c r="A4333" s="626"/>
      <c r="B4333" s="637"/>
      <c r="C4333" s="637"/>
      <c r="D4333" s="637"/>
      <c r="E4333" s="637"/>
      <c r="F4333" s="637"/>
      <c r="G4333" s="637"/>
      <c r="H4333" s="637"/>
      <c r="I4333" s="637"/>
      <c r="J4333" s="637"/>
    </row>
    <row r="4334" spans="1:10" x14ac:dyDescent="0.2">
      <c r="A4334" s="626"/>
      <c r="B4334" s="637"/>
      <c r="C4334" s="637"/>
      <c r="D4334" s="637"/>
      <c r="E4334" s="637"/>
      <c r="F4334" s="637"/>
      <c r="G4334" s="637"/>
      <c r="H4334" s="637"/>
      <c r="I4334" s="637"/>
      <c r="J4334" s="637"/>
    </row>
    <row r="4335" spans="1:10" x14ac:dyDescent="0.2">
      <c r="A4335" s="626"/>
      <c r="B4335" s="637"/>
      <c r="C4335" s="637"/>
      <c r="D4335" s="637"/>
      <c r="E4335" s="637"/>
      <c r="F4335" s="637"/>
      <c r="G4335" s="637"/>
      <c r="H4335" s="637"/>
      <c r="I4335" s="637"/>
      <c r="J4335" s="637"/>
    </row>
    <row r="4336" spans="1:10" x14ac:dyDescent="0.2">
      <c r="A4336" s="626"/>
      <c r="B4336" s="637"/>
      <c r="C4336" s="637"/>
      <c r="D4336" s="637"/>
      <c r="E4336" s="637"/>
      <c r="F4336" s="637"/>
      <c r="G4336" s="637"/>
      <c r="H4336" s="637"/>
      <c r="I4336" s="637"/>
      <c r="J4336" s="637"/>
    </row>
    <row r="4337" spans="1:10" x14ac:dyDescent="0.2">
      <c r="A4337" s="626"/>
      <c r="B4337" s="637"/>
      <c r="C4337" s="637"/>
      <c r="D4337" s="637"/>
      <c r="E4337" s="637"/>
      <c r="F4337" s="637"/>
      <c r="G4337" s="637"/>
      <c r="H4337" s="637"/>
      <c r="I4337" s="637"/>
      <c r="J4337" s="637"/>
    </row>
    <row r="4338" spans="1:10" x14ac:dyDescent="0.2">
      <c r="A4338" s="626"/>
      <c r="B4338" s="637"/>
      <c r="C4338" s="637"/>
      <c r="D4338" s="637"/>
      <c r="E4338" s="637"/>
      <c r="F4338" s="637"/>
      <c r="G4338" s="637"/>
      <c r="H4338" s="637"/>
      <c r="I4338" s="637"/>
      <c r="J4338" s="637"/>
    </row>
    <row r="4339" spans="1:10" x14ac:dyDescent="0.2">
      <c r="A4339" s="626"/>
      <c r="B4339" s="637"/>
      <c r="C4339" s="637"/>
      <c r="D4339" s="637"/>
      <c r="E4339" s="637"/>
      <c r="F4339" s="637"/>
      <c r="G4339" s="637"/>
      <c r="H4339" s="637"/>
      <c r="I4339" s="637"/>
      <c r="J4339" s="637"/>
    </row>
    <row r="4340" spans="1:10" x14ac:dyDescent="0.2">
      <c r="A4340" s="626"/>
      <c r="B4340" s="637"/>
      <c r="C4340" s="637"/>
      <c r="D4340" s="637"/>
      <c r="E4340" s="637"/>
      <c r="F4340" s="637"/>
      <c r="G4340" s="637"/>
      <c r="H4340" s="637"/>
      <c r="I4340" s="637"/>
      <c r="J4340" s="637"/>
    </row>
    <row r="4341" spans="1:10" x14ac:dyDescent="0.2">
      <c r="A4341" s="626"/>
      <c r="B4341" s="637"/>
      <c r="C4341" s="637"/>
      <c r="D4341" s="637"/>
      <c r="E4341" s="637"/>
      <c r="F4341" s="637"/>
      <c r="G4341" s="637"/>
      <c r="H4341" s="637"/>
      <c r="I4341" s="637"/>
      <c r="J4341" s="637"/>
    </row>
    <row r="4342" spans="1:10" x14ac:dyDescent="0.2">
      <c r="A4342" s="626"/>
      <c r="B4342" s="637"/>
      <c r="C4342" s="637"/>
      <c r="D4342" s="637"/>
      <c r="E4342" s="637"/>
      <c r="F4342" s="637"/>
      <c r="G4342" s="637"/>
      <c r="H4342" s="637"/>
      <c r="I4342" s="637"/>
      <c r="J4342" s="637"/>
    </row>
    <row r="4343" spans="1:10" x14ac:dyDescent="0.2">
      <c r="A4343" s="626"/>
      <c r="B4343" s="637"/>
      <c r="C4343" s="637"/>
      <c r="D4343" s="637"/>
      <c r="E4343" s="637"/>
      <c r="F4343" s="637"/>
      <c r="G4343" s="637"/>
      <c r="H4343" s="637"/>
      <c r="I4343" s="637"/>
      <c r="J4343" s="637"/>
    </row>
    <row r="4344" spans="1:10" x14ac:dyDescent="0.2">
      <c r="A4344" s="626"/>
      <c r="B4344" s="637"/>
      <c r="C4344" s="637"/>
      <c r="D4344" s="637"/>
      <c r="E4344" s="637"/>
      <c r="F4344" s="637"/>
      <c r="G4344" s="637"/>
      <c r="H4344" s="637"/>
      <c r="I4344" s="637"/>
      <c r="J4344" s="637"/>
    </row>
    <row r="4345" spans="1:10" x14ac:dyDescent="0.2">
      <c r="A4345" s="626"/>
      <c r="B4345" s="637"/>
      <c r="C4345" s="637"/>
      <c r="D4345" s="637"/>
      <c r="E4345" s="637"/>
      <c r="F4345" s="637"/>
      <c r="G4345" s="637"/>
      <c r="H4345" s="637"/>
      <c r="I4345" s="637"/>
      <c r="J4345" s="637"/>
    </row>
    <row r="4346" spans="1:10" x14ac:dyDescent="0.2">
      <c r="A4346" s="626"/>
      <c r="B4346" s="637"/>
      <c r="C4346" s="637"/>
      <c r="D4346" s="637"/>
      <c r="E4346" s="637"/>
      <c r="F4346" s="637"/>
      <c r="G4346" s="637"/>
      <c r="H4346" s="637"/>
      <c r="I4346" s="637"/>
      <c r="J4346" s="637"/>
    </row>
    <row r="4347" spans="1:10" x14ac:dyDescent="0.2">
      <c r="A4347" s="626"/>
      <c r="B4347" s="637"/>
      <c r="C4347" s="637"/>
      <c r="D4347" s="637"/>
      <c r="E4347" s="637"/>
      <c r="F4347" s="637"/>
      <c r="G4347" s="637"/>
      <c r="H4347" s="637"/>
      <c r="I4347" s="637"/>
      <c r="J4347" s="637"/>
    </row>
    <row r="4348" spans="1:10" x14ac:dyDescent="0.2">
      <c r="A4348" s="626"/>
      <c r="B4348" s="637"/>
      <c r="C4348" s="637"/>
      <c r="D4348" s="637"/>
      <c r="E4348" s="637"/>
      <c r="F4348" s="637"/>
      <c r="G4348" s="637"/>
      <c r="H4348" s="637"/>
      <c r="I4348" s="637"/>
      <c r="J4348" s="637"/>
    </row>
    <row r="4349" spans="1:10" x14ac:dyDescent="0.2">
      <c r="A4349" s="626"/>
      <c r="B4349" s="637"/>
      <c r="C4349" s="637"/>
      <c r="D4349" s="637"/>
      <c r="E4349" s="637"/>
      <c r="F4349" s="637"/>
      <c r="G4349" s="637"/>
      <c r="H4349" s="637"/>
      <c r="I4349" s="637"/>
      <c r="J4349" s="637"/>
    </row>
    <row r="4350" spans="1:10" x14ac:dyDescent="0.2">
      <c r="A4350" s="626"/>
      <c r="B4350" s="637"/>
      <c r="C4350" s="637"/>
      <c r="D4350" s="637"/>
      <c r="E4350" s="637"/>
      <c r="F4350" s="637"/>
      <c r="G4350" s="637"/>
      <c r="H4350" s="637"/>
      <c r="I4350" s="637"/>
      <c r="J4350" s="637"/>
    </row>
    <row r="4351" spans="1:10" x14ac:dyDescent="0.2">
      <c r="A4351" s="626"/>
      <c r="B4351" s="637"/>
      <c r="C4351" s="637"/>
      <c r="D4351" s="637"/>
      <c r="E4351" s="637"/>
      <c r="F4351" s="637"/>
      <c r="G4351" s="637"/>
      <c r="H4351" s="637"/>
      <c r="I4351" s="637"/>
      <c r="J4351" s="637"/>
    </row>
    <row r="4352" spans="1:10" x14ac:dyDescent="0.2">
      <c r="A4352" s="626"/>
      <c r="B4352" s="637"/>
      <c r="C4352" s="637"/>
      <c r="D4352" s="637"/>
      <c r="E4352" s="637"/>
      <c r="F4352" s="637"/>
      <c r="G4352" s="637"/>
      <c r="H4352" s="637"/>
      <c r="I4352" s="637"/>
      <c r="J4352" s="637"/>
    </row>
    <row r="4353" spans="1:10" x14ac:dyDescent="0.2">
      <c r="A4353" s="626"/>
      <c r="B4353" s="637"/>
      <c r="C4353" s="637"/>
      <c r="D4353" s="637"/>
      <c r="E4353" s="637"/>
      <c r="F4353" s="637"/>
      <c r="G4353" s="637"/>
      <c r="H4353" s="637"/>
      <c r="I4353" s="637"/>
      <c r="J4353" s="637"/>
    </row>
    <row r="4354" spans="1:10" x14ac:dyDescent="0.2">
      <c r="A4354" s="626"/>
      <c r="B4354" s="637"/>
      <c r="C4354" s="637"/>
      <c r="D4354" s="637"/>
      <c r="E4354" s="637"/>
      <c r="F4354" s="637"/>
      <c r="G4354" s="637"/>
      <c r="H4354" s="637"/>
      <c r="I4354" s="637"/>
      <c r="J4354" s="637"/>
    </row>
    <row r="4355" spans="1:10" x14ac:dyDescent="0.2">
      <c r="A4355" s="626"/>
      <c r="B4355" s="637"/>
      <c r="C4355" s="637"/>
      <c r="D4355" s="637"/>
      <c r="E4355" s="637"/>
      <c r="F4355" s="637"/>
      <c r="G4355" s="637"/>
      <c r="H4355" s="637"/>
      <c r="I4355" s="637"/>
      <c r="J4355" s="637"/>
    </row>
    <row r="4356" spans="1:10" x14ac:dyDescent="0.2">
      <c r="A4356" s="626"/>
      <c r="B4356" s="637"/>
      <c r="C4356" s="637"/>
      <c r="D4356" s="637"/>
      <c r="E4356" s="637"/>
      <c r="F4356" s="637"/>
      <c r="G4356" s="637"/>
      <c r="H4356" s="637"/>
      <c r="I4356" s="637"/>
      <c r="J4356" s="637"/>
    </row>
    <row r="4357" spans="1:10" x14ac:dyDescent="0.2">
      <c r="A4357" s="626"/>
      <c r="B4357" s="637"/>
      <c r="C4357" s="637"/>
      <c r="D4357" s="637"/>
      <c r="E4357" s="637"/>
      <c r="F4357" s="637"/>
      <c r="G4357" s="637"/>
      <c r="H4357" s="637"/>
      <c r="I4357" s="637"/>
      <c r="J4357" s="637"/>
    </row>
    <row r="4358" spans="1:10" x14ac:dyDescent="0.2">
      <c r="A4358" s="626"/>
      <c r="B4358" s="637"/>
      <c r="C4358" s="637"/>
      <c r="D4358" s="637"/>
      <c r="E4358" s="637"/>
      <c r="F4358" s="637"/>
      <c r="G4358" s="637"/>
      <c r="H4358" s="637"/>
      <c r="I4358" s="637"/>
      <c r="J4358" s="637"/>
    </row>
    <row r="4359" spans="1:10" x14ac:dyDescent="0.2">
      <c r="A4359" s="626"/>
      <c r="B4359" s="637"/>
      <c r="C4359" s="637"/>
      <c r="D4359" s="637"/>
      <c r="E4359" s="637"/>
      <c r="F4359" s="637"/>
      <c r="G4359" s="637"/>
      <c r="H4359" s="637"/>
      <c r="I4359" s="637"/>
      <c r="J4359" s="637"/>
    </row>
    <row r="4360" spans="1:10" x14ac:dyDescent="0.2">
      <c r="A4360" s="626"/>
      <c r="B4360" s="637"/>
      <c r="C4360" s="637"/>
      <c r="D4360" s="637"/>
      <c r="E4360" s="637"/>
      <c r="F4360" s="637"/>
      <c r="G4360" s="637"/>
      <c r="H4360" s="637"/>
      <c r="I4360" s="637"/>
      <c r="J4360" s="637"/>
    </row>
    <row r="4361" spans="1:10" x14ac:dyDescent="0.2">
      <c r="A4361" s="626"/>
      <c r="B4361" s="637"/>
      <c r="C4361" s="637"/>
      <c r="D4361" s="637"/>
      <c r="E4361" s="637"/>
      <c r="F4361" s="637"/>
      <c r="G4361" s="637"/>
      <c r="H4361" s="637"/>
      <c r="I4361" s="637"/>
      <c r="J4361" s="637"/>
    </row>
    <row r="4362" spans="1:10" x14ac:dyDescent="0.2">
      <c r="A4362" s="626"/>
      <c r="B4362" s="637"/>
      <c r="C4362" s="637"/>
      <c r="D4362" s="637"/>
      <c r="E4362" s="637"/>
      <c r="F4362" s="637"/>
      <c r="G4362" s="637"/>
      <c r="H4362" s="637"/>
      <c r="I4362" s="637"/>
      <c r="J4362" s="637"/>
    </row>
    <row r="4363" spans="1:10" x14ac:dyDescent="0.2">
      <c r="A4363" s="626"/>
      <c r="B4363" s="637"/>
      <c r="C4363" s="637"/>
      <c r="D4363" s="637"/>
      <c r="E4363" s="637"/>
      <c r="F4363" s="637"/>
      <c r="G4363" s="637"/>
      <c r="H4363" s="637"/>
      <c r="I4363" s="637"/>
      <c r="J4363" s="637"/>
    </row>
    <row r="4364" spans="1:10" x14ac:dyDescent="0.2">
      <c r="A4364" s="626"/>
      <c r="B4364" s="637"/>
      <c r="C4364" s="637"/>
      <c r="D4364" s="637"/>
      <c r="E4364" s="637"/>
      <c r="F4364" s="637"/>
      <c r="G4364" s="637"/>
      <c r="H4364" s="637"/>
      <c r="I4364" s="637"/>
      <c r="J4364" s="637"/>
    </row>
    <row r="4365" spans="1:10" x14ac:dyDescent="0.2">
      <c r="A4365" s="626"/>
      <c r="B4365" s="637"/>
      <c r="C4365" s="637"/>
      <c r="D4365" s="637"/>
      <c r="E4365" s="637"/>
      <c r="F4365" s="637"/>
      <c r="G4365" s="637"/>
      <c r="H4365" s="637"/>
      <c r="I4365" s="637"/>
      <c r="J4365" s="637"/>
    </row>
    <row r="4366" spans="1:10" x14ac:dyDescent="0.2">
      <c r="A4366" s="626"/>
      <c r="B4366" s="637"/>
      <c r="C4366" s="637"/>
      <c r="D4366" s="637"/>
      <c r="E4366" s="637"/>
      <c r="F4366" s="637"/>
      <c r="G4366" s="637"/>
      <c r="H4366" s="637"/>
      <c r="I4366" s="637"/>
      <c r="J4366" s="637"/>
    </row>
    <row r="4367" spans="1:10" x14ac:dyDescent="0.2">
      <c r="A4367" s="626"/>
      <c r="B4367" s="637"/>
      <c r="C4367" s="637"/>
      <c r="D4367" s="637"/>
      <c r="E4367" s="637"/>
      <c r="F4367" s="637"/>
      <c r="G4367" s="637"/>
      <c r="H4367" s="637"/>
      <c r="I4367" s="637"/>
      <c r="J4367" s="637"/>
    </row>
    <row r="4368" spans="1:10" x14ac:dyDescent="0.2">
      <c r="A4368" s="626"/>
      <c r="B4368" s="637"/>
      <c r="C4368" s="637"/>
      <c r="D4368" s="637"/>
      <c r="E4368" s="637"/>
      <c r="F4368" s="637"/>
      <c r="G4368" s="637"/>
      <c r="H4368" s="637"/>
      <c r="I4368" s="637"/>
      <c r="J4368" s="637"/>
    </row>
    <row r="4369" spans="1:10" x14ac:dyDescent="0.2">
      <c r="A4369" s="626"/>
      <c r="B4369" s="637"/>
      <c r="C4369" s="637"/>
      <c r="D4369" s="637"/>
      <c r="E4369" s="637"/>
      <c r="F4369" s="637"/>
      <c r="G4369" s="637"/>
      <c r="H4369" s="637"/>
      <c r="I4369" s="637"/>
      <c r="J4369" s="637"/>
    </row>
    <row r="4370" spans="1:10" x14ac:dyDescent="0.2">
      <c r="A4370" s="626"/>
      <c r="B4370" s="637"/>
      <c r="C4370" s="637"/>
      <c r="D4370" s="637"/>
      <c r="E4370" s="637"/>
      <c r="F4370" s="637"/>
      <c r="G4370" s="637"/>
      <c r="H4370" s="637"/>
      <c r="I4370" s="637"/>
      <c r="J4370" s="637"/>
    </row>
    <row r="4371" spans="1:10" x14ac:dyDescent="0.2">
      <c r="A4371" s="626"/>
      <c r="B4371" s="637"/>
      <c r="C4371" s="637"/>
      <c r="D4371" s="637"/>
      <c r="E4371" s="637"/>
      <c r="F4371" s="637"/>
      <c r="G4371" s="637"/>
      <c r="H4371" s="637"/>
      <c r="I4371" s="637"/>
      <c r="J4371" s="637"/>
    </row>
    <row r="4372" spans="1:10" x14ac:dyDescent="0.2">
      <c r="A4372" s="626"/>
      <c r="B4372" s="637"/>
      <c r="C4372" s="637"/>
      <c r="D4372" s="637"/>
      <c r="E4372" s="637"/>
      <c r="F4372" s="637"/>
      <c r="G4372" s="637"/>
      <c r="H4372" s="637"/>
      <c r="I4372" s="637"/>
      <c r="J4372" s="637"/>
    </row>
    <row r="4373" spans="1:10" x14ac:dyDescent="0.2">
      <c r="A4373" s="626"/>
      <c r="B4373" s="637"/>
      <c r="C4373" s="637"/>
      <c r="D4373" s="637"/>
      <c r="E4373" s="637"/>
      <c r="F4373" s="637"/>
      <c r="G4373" s="637"/>
      <c r="H4373" s="637"/>
      <c r="I4373" s="637"/>
      <c r="J4373" s="637"/>
    </row>
    <row r="4374" spans="1:10" x14ac:dyDescent="0.2">
      <c r="A4374" s="626"/>
      <c r="B4374" s="637"/>
      <c r="C4374" s="637"/>
      <c r="D4374" s="637"/>
      <c r="E4374" s="637"/>
      <c r="F4374" s="637"/>
      <c r="G4374" s="637"/>
      <c r="H4374" s="637"/>
      <c r="I4374" s="637"/>
      <c r="J4374" s="637"/>
    </row>
    <row r="4375" spans="1:10" x14ac:dyDescent="0.2">
      <c r="A4375" s="626"/>
      <c r="B4375" s="637"/>
      <c r="C4375" s="637"/>
      <c r="D4375" s="637"/>
      <c r="E4375" s="637"/>
      <c r="F4375" s="637"/>
      <c r="G4375" s="637"/>
      <c r="H4375" s="637"/>
      <c r="I4375" s="637"/>
      <c r="J4375" s="637"/>
    </row>
    <row r="4376" spans="1:10" x14ac:dyDescent="0.2">
      <c r="A4376" s="626"/>
      <c r="B4376" s="637"/>
      <c r="C4376" s="637"/>
      <c r="D4376" s="637"/>
      <c r="E4376" s="637"/>
      <c r="F4376" s="637"/>
      <c r="G4376" s="637"/>
      <c r="H4376" s="637"/>
      <c r="I4376" s="637"/>
      <c r="J4376" s="637"/>
    </row>
    <row r="4377" spans="1:10" x14ac:dyDescent="0.2">
      <c r="A4377" s="626"/>
      <c r="B4377" s="637"/>
      <c r="C4377" s="637"/>
      <c r="D4377" s="637"/>
      <c r="E4377" s="637"/>
      <c r="F4377" s="637"/>
      <c r="G4377" s="637"/>
      <c r="H4377" s="637"/>
      <c r="I4377" s="637"/>
      <c r="J4377" s="637"/>
    </row>
    <row r="4378" spans="1:10" x14ac:dyDescent="0.2">
      <c r="A4378" s="626"/>
      <c r="B4378" s="637"/>
      <c r="C4378" s="637"/>
      <c r="D4378" s="637"/>
      <c r="E4378" s="637"/>
      <c r="F4378" s="637"/>
      <c r="G4378" s="637"/>
      <c r="H4378" s="637"/>
      <c r="I4378" s="637"/>
      <c r="J4378" s="637"/>
    </row>
    <row r="4379" spans="1:10" x14ac:dyDescent="0.2">
      <c r="A4379" s="626"/>
      <c r="B4379" s="637"/>
      <c r="C4379" s="637"/>
      <c r="D4379" s="637"/>
      <c r="E4379" s="637"/>
      <c r="F4379" s="637"/>
      <c r="G4379" s="637"/>
      <c r="H4379" s="637"/>
      <c r="I4379" s="637"/>
      <c r="J4379" s="637"/>
    </row>
    <row r="4380" spans="1:10" x14ac:dyDescent="0.2">
      <c r="A4380" s="626"/>
      <c r="B4380" s="637"/>
      <c r="C4380" s="637"/>
      <c r="D4380" s="637"/>
      <c r="E4380" s="637"/>
      <c r="F4380" s="637"/>
      <c r="G4380" s="637"/>
      <c r="H4380" s="637"/>
      <c r="I4380" s="637"/>
      <c r="J4380" s="637"/>
    </row>
    <row r="4381" spans="1:10" x14ac:dyDescent="0.2">
      <c r="A4381" s="626"/>
      <c r="B4381" s="637"/>
      <c r="C4381" s="637"/>
      <c r="D4381" s="637"/>
      <c r="E4381" s="637"/>
      <c r="F4381" s="637"/>
      <c r="G4381" s="637"/>
      <c r="H4381" s="637"/>
      <c r="I4381" s="637"/>
      <c r="J4381" s="637"/>
    </row>
    <row r="4382" spans="1:10" x14ac:dyDescent="0.2">
      <c r="A4382" s="626"/>
      <c r="B4382" s="637"/>
      <c r="C4382" s="637"/>
      <c r="D4382" s="637"/>
      <c r="E4382" s="637"/>
      <c r="F4382" s="637"/>
      <c r="G4382" s="637"/>
      <c r="H4382" s="637"/>
      <c r="I4382" s="637"/>
      <c r="J4382" s="637"/>
    </row>
    <row r="4383" spans="1:10" x14ac:dyDescent="0.2">
      <c r="A4383" s="626"/>
      <c r="B4383" s="637"/>
      <c r="C4383" s="637"/>
      <c r="D4383" s="637"/>
      <c r="E4383" s="637"/>
      <c r="F4383" s="637"/>
      <c r="G4383" s="637"/>
      <c r="H4383" s="637"/>
      <c r="I4383" s="637"/>
      <c r="J4383" s="637"/>
    </row>
    <row r="4384" spans="1:10" x14ac:dyDescent="0.2">
      <c r="A4384" s="626"/>
      <c r="B4384" s="637"/>
      <c r="C4384" s="637"/>
      <c r="D4384" s="637"/>
      <c r="E4384" s="637"/>
      <c r="F4384" s="637"/>
      <c r="G4384" s="637"/>
      <c r="H4384" s="637"/>
      <c r="I4384" s="637"/>
      <c r="J4384" s="637"/>
    </row>
    <row r="4385" spans="1:10" x14ac:dyDescent="0.2">
      <c r="A4385" s="626"/>
      <c r="B4385" s="637"/>
      <c r="C4385" s="637"/>
      <c r="D4385" s="637"/>
      <c r="E4385" s="637"/>
      <c r="F4385" s="637"/>
      <c r="G4385" s="637"/>
      <c r="H4385" s="637"/>
      <c r="I4385" s="637"/>
      <c r="J4385" s="637"/>
    </row>
    <row r="4386" spans="1:10" x14ac:dyDescent="0.2">
      <c r="A4386" s="626"/>
      <c r="B4386" s="637"/>
      <c r="C4386" s="637"/>
      <c r="D4386" s="637"/>
      <c r="E4386" s="637"/>
      <c r="F4386" s="637"/>
      <c r="G4386" s="637"/>
      <c r="H4386" s="637"/>
      <c r="I4386" s="637"/>
      <c r="J4386" s="637"/>
    </row>
    <row r="4387" spans="1:10" x14ac:dyDescent="0.2">
      <c r="A4387" s="626"/>
      <c r="B4387" s="637"/>
      <c r="C4387" s="637"/>
      <c r="D4387" s="637"/>
      <c r="E4387" s="637"/>
      <c r="F4387" s="637"/>
      <c r="G4387" s="637"/>
      <c r="H4387" s="637"/>
      <c r="I4387" s="637"/>
      <c r="J4387" s="637"/>
    </row>
    <row r="4388" spans="1:10" x14ac:dyDescent="0.2">
      <c r="A4388" s="626"/>
      <c r="B4388" s="637"/>
      <c r="C4388" s="637"/>
      <c r="D4388" s="637"/>
      <c r="E4388" s="637"/>
      <c r="F4388" s="637"/>
      <c r="G4388" s="637"/>
      <c r="H4388" s="637"/>
      <c r="I4388" s="637"/>
      <c r="J4388" s="637"/>
    </row>
    <row r="4389" spans="1:10" x14ac:dyDescent="0.2">
      <c r="A4389" s="626"/>
      <c r="B4389" s="637"/>
      <c r="C4389" s="637"/>
      <c r="D4389" s="637"/>
      <c r="E4389" s="637"/>
      <c r="F4389" s="637"/>
      <c r="G4389" s="637"/>
      <c r="H4389" s="637"/>
      <c r="I4389" s="637"/>
      <c r="J4389" s="637"/>
    </row>
    <row r="4390" spans="1:10" x14ac:dyDescent="0.2">
      <c r="A4390" s="626"/>
      <c r="B4390" s="637"/>
      <c r="C4390" s="637"/>
      <c r="D4390" s="637"/>
      <c r="E4390" s="637"/>
      <c r="F4390" s="637"/>
      <c r="G4390" s="637"/>
      <c r="H4390" s="637"/>
      <c r="I4390" s="637"/>
      <c r="J4390" s="637"/>
    </row>
    <row r="4391" spans="1:10" x14ac:dyDescent="0.2">
      <c r="A4391" s="626"/>
      <c r="B4391" s="637"/>
      <c r="C4391" s="637"/>
      <c r="D4391" s="637"/>
      <c r="E4391" s="637"/>
      <c r="F4391" s="637"/>
      <c r="G4391" s="637"/>
      <c r="H4391" s="637"/>
      <c r="I4391" s="637"/>
      <c r="J4391" s="637"/>
    </row>
    <row r="4392" spans="1:10" x14ac:dyDescent="0.2">
      <c r="A4392" s="626"/>
      <c r="B4392" s="637"/>
      <c r="C4392" s="637"/>
      <c r="D4392" s="637"/>
      <c r="E4392" s="637"/>
      <c r="F4392" s="637"/>
      <c r="G4392" s="637"/>
      <c r="H4392" s="637"/>
      <c r="I4392" s="637"/>
      <c r="J4392" s="637"/>
    </row>
    <row r="4393" spans="1:10" x14ac:dyDescent="0.2">
      <c r="A4393" s="626"/>
      <c r="B4393" s="637"/>
      <c r="C4393" s="637"/>
      <c r="D4393" s="637"/>
      <c r="E4393" s="637"/>
      <c r="F4393" s="637"/>
      <c r="G4393" s="637"/>
      <c r="H4393" s="637"/>
      <c r="I4393" s="637"/>
      <c r="J4393" s="637"/>
    </row>
    <row r="4394" spans="1:10" x14ac:dyDescent="0.2">
      <c r="A4394" s="626"/>
      <c r="B4394" s="637"/>
      <c r="C4394" s="637"/>
      <c r="D4394" s="637"/>
      <c r="E4394" s="637"/>
      <c r="F4394" s="637"/>
      <c r="G4394" s="637"/>
      <c r="H4394" s="637"/>
      <c r="I4394" s="637"/>
      <c r="J4394" s="637"/>
    </row>
    <row r="4395" spans="1:10" x14ac:dyDescent="0.2">
      <c r="A4395" s="626"/>
      <c r="B4395" s="637"/>
      <c r="C4395" s="637"/>
      <c r="D4395" s="637"/>
      <c r="E4395" s="637"/>
      <c r="F4395" s="637"/>
      <c r="G4395" s="637"/>
      <c r="H4395" s="637"/>
      <c r="I4395" s="637"/>
      <c r="J4395" s="637"/>
    </row>
    <row r="4396" spans="1:10" x14ac:dyDescent="0.2">
      <c r="A4396" s="626"/>
      <c r="B4396" s="637"/>
      <c r="C4396" s="637"/>
      <c r="D4396" s="637"/>
      <c r="E4396" s="637"/>
      <c r="F4396" s="637"/>
      <c r="G4396" s="637"/>
      <c r="H4396" s="637"/>
      <c r="I4396" s="637"/>
      <c r="J4396" s="637"/>
    </row>
    <row r="4397" spans="1:10" x14ac:dyDescent="0.2">
      <c r="A4397" s="626"/>
      <c r="B4397" s="637"/>
      <c r="C4397" s="637"/>
      <c r="D4397" s="637"/>
      <c r="E4397" s="637"/>
      <c r="F4397" s="637"/>
      <c r="G4397" s="637"/>
      <c r="H4397" s="637"/>
      <c r="I4397" s="637"/>
      <c r="J4397" s="637"/>
    </row>
    <row r="4398" spans="1:10" x14ac:dyDescent="0.2">
      <c r="A4398" s="626"/>
      <c r="B4398" s="637"/>
      <c r="C4398" s="637"/>
      <c r="D4398" s="637"/>
      <c r="E4398" s="637"/>
      <c r="F4398" s="637"/>
      <c r="G4398" s="637"/>
      <c r="H4398" s="637"/>
      <c r="I4398" s="637"/>
      <c r="J4398" s="637"/>
    </row>
    <row r="4399" spans="1:10" x14ac:dyDescent="0.2">
      <c r="A4399" s="626"/>
      <c r="B4399" s="637"/>
      <c r="C4399" s="637"/>
      <c r="D4399" s="637"/>
      <c r="E4399" s="637"/>
      <c r="F4399" s="637"/>
      <c r="G4399" s="637"/>
      <c r="H4399" s="637"/>
      <c r="I4399" s="637"/>
      <c r="J4399" s="637"/>
    </row>
    <row r="4400" spans="1:10" x14ac:dyDescent="0.2">
      <c r="A4400" s="626"/>
      <c r="B4400" s="637"/>
      <c r="C4400" s="637"/>
      <c r="D4400" s="637"/>
      <c r="E4400" s="637"/>
      <c r="F4400" s="637"/>
      <c r="G4400" s="637"/>
      <c r="H4400" s="637"/>
      <c r="I4400" s="637"/>
      <c r="J4400" s="637"/>
    </row>
    <row r="4401" spans="1:10" x14ac:dyDescent="0.2">
      <c r="A4401" s="626"/>
      <c r="B4401" s="637"/>
      <c r="C4401" s="637"/>
      <c r="D4401" s="637"/>
      <c r="E4401" s="637"/>
      <c r="F4401" s="637"/>
      <c r="G4401" s="637"/>
      <c r="H4401" s="637"/>
      <c r="I4401" s="637"/>
      <c r="J4401" s="637"/>
    </row>
    <row r="4402" spans="1:10" x14ac:dyDescent="0.2">
      <c r="A4402" s="626"/>
      <c r="B4402" s="637"/>
      <c r="C4402" s="637"/>
      <c r="D4402" s="637"/>
      <c r="E4402" s="637"/>
      <c r="F4402" s="637"/>
      <c r="G4402" s="637"/>
      <c r="H4402" s="637"/>
      <c r="I4402" s="637"/>
      <c r="J4402" s="637"/>
    </row>
    <row r="4403" spans="1:10" x14ac:dyDescent="0.2">
      <c r="A4403" s="626"/>
      <c r="B4403" s="637"/>
      <c r="C4403" s="637"/>
      <c r="D4403" s="637"/>
      <c r="E4403" s="637"/>
      <c r="F4403" s="637"/>
      <c r="G4403" s="637"/>
      <c r="H4403" s="637"/>
      <c r="I4403" s="637"/>
      <c r="J4403" s="637"/>
    </row>
    <row r="4404" spans="1:10" x14ac:dyDescent="0.2">
      <c r="A4404" s="626"/>
      <c r="B4404" s="637"/>
      <c r="C4404" s="637"/>
      <c r="D4404" s="637"/>
      <c r="E4404" s="637"/>
      <c r="F4404" s="637"/>
      <c r="G4404" s="637"/>
      <c r="H4404" s="637"/>
      <c r="I4404" s="637"/>
      <c r="J4404" s="637"/>
    </row>
    <row r="4405" spans="1:10" x14ac:dyDescent="0.2">
      <c r="A4405" s="626"/>
      <c r="B4405" s="637"/>
      <c r="C4405" s="637"/>
      <c r="D4405" s="637"/>
      <c r="E4405" s="637"/>
      <c r="F4405" s="637"/>
      <c r="G4405" s="637"/>
      <c r="H4405" s="637"/>
      <c r="I4405" s="637"/>
      <c r="J4405" s="637"/>
    </row>
    <row r="4406" spans="1:10" x14ac:dyDescent="0.2">
      <c r="A4406" s="626"/>
      <c r="B4406" s="637"/>
      <c r="C4406" s="637"/>
      <c r="D4406" s="637"/>
      <c r="E4406" s="637"/>
      <c r="F4406" s="637"/>
      <c r="G4406" s="637"/>
      <c r="H4406" s="637"/>
      <c r="I4406" s="637"/>
      <c r="J4406" s="637"/>
    </row>
    <row r="4407" spans="1:10" x14ac:dyDescent="0.2">
      <c r="A4407" s="626"/>
      <c r="B4407" s="637"/>
      <c r="C4407" s="637"/>
      <c r="D4407" s="637"/>
      <c r="E4407" s="637"/>
      <c r="F4407" s="637"/>
      <c r="G4407" s="637"/>
      <c r="H4407" s="637"/>
      <c r="I4407" s="637"/>
      <c r="J4407" s="637"/>
    </row>
    <row r="4408" spans="1:10" x14ac:dyDescent="0.2">
      <c r="A4408" s="626"/>
      <c r="B4408" s="637"/>
      <c r="C4408" s="637"/>
      <c r="D4408" s="637"/>
      <c r="E4408" s="637"/>
      <c r="F4408" s="637"/>
      <c r="G4408" s="637"/>
      <c r="H4408" s="637"/>
      <c r="I4408" s="637"/>
      <c r="J4408" s="637"/>
    </row>
    <row r="4409" spans="1:10" x14ac:dyDescent="0.2">
      <c r="A4409" s="626"/>
      <c r="B4409" s="637"/>
      <c r="C4409" s="637"/>
      <c r="D4409" s="637"/>
      <c r="E4409" s="637"/>
      <c r="F4409" s="637"/>
      <c r="G4409" s="637"/>
      <c r="H4409" s="637"/>
      <c r="I4409" s="637"/>
      <c r="J4409" s="637"/>
    </row>
    <row r="4410" spans="1:10" x14ac:dyDescent="0.2">
      <c r="A4410" s="626"/>
      <c r="B4410" s="637"/>
      <c r="C4410" s="637"/>
      <c r="D4410" s="637"/>
      <c r="E4410" s="637"/>
      <c r="F4410" s="637"/>
      <c r="G4410" s="637"/>
      <c r="H4410" s="637"/>
      <c r="I4410" s="637"/>
      <c r="J4410" s="637"/>
    </row>
    <row r="4411" spans="1:10" x14ac:dyDescent="0.2">
      <c r="A4411" s="626"/>
      <c r="B4411" s="637"/>
      <c r="C4411" s="637"/>
      <c r="D4411" s="637"/>
      <c r="E4411" s="637"/>
      <c r="F4411" s="637"/>
      <c r="G4411" s="637"/>
      <c r="H4411" s="637"/>
      <c r="I4411" s="637"/>
      <c r="J4411" s="637"/>
    </row>
    <row r="4412" spans="1:10" x14ac:dyDescent="0.2">
      <c r="A4412" s="626"/>
      <c r="B4412" s="637"/>
      <c r="C4412" s="637"/>
      <c r="D4412" s="637"/>
      <c r="E4412" s="637"/>
      <c r="F4412" s="637"/>
      <c r="G4412" s="637"/>
      <c r="H4412" s="637"/>
      <c r="I4412" s="637"/>
      <c r="J4412" s="637"/>
    </row>
    <row r="4413" spans="1:10" x14ac:dyDescent="0.2">
      <c r="A4413" s="626"/>
      <c r="B4413" s="637"/>
      <c r="C4413" s="637"/>
      <c r="D4413" s="637"/>
      <c r="E4413" s="637"/>
      <c r="F4413" s="637"/>
      <c r="G4413" s="637"/>
      <c r="H4413" s="637"/>
      <c r="I4413" s="637"/>
      <c r="J4413" s="637"/>
    </row>
    <row r="4414" spans="1:10" x14ac:dyDescent="0.2">
      <c r="A4414" s="626"/>
      <c r="B4414" s="637"/>
      <c r="C4414" s="637"/>
      <c r="D4414" s="637"/>
      <c r="E4414" s="637"/>
      <c r="F4414" s="637"/>
      <c r="G4414" s="637"/>
      <c r="H4414" s="637"/>
      <c r="I4414" s="637"/>
      <c r="J4414" s="637"/>
    </row>
    <row r="4415" spans="1:10" x14ac:dyDescent="0.2">
      <c r="A4415" s="626"/>
      <c r="B4415" s="637"/>
      <c r="C4415" s="637"/>
      <c r="D4415" s="637"/>
      <c r="E4415" s="637"/>
      <c r="F4415" s="637"/>
      <c r="G4415" s="637"/>
      <c r="H4415" s="637"/>
      <c r="I4415" s="637"/>
      <c r="J4415" s="637"/>
    </row>
    <row r="4416" spans="1:10" x14ac:dyDescent="0.2">
      <c r="A4416" s="626"/>
      <c r="B4416" s="637"/>
      <c r="C4416" s="637"/>
      <c r="D4416" s="637"/>
      <c r="E4416" s="637"/>
      <c r="F4416" s="637"/>
      <c r="G4416" s="637"/>
      <c r="H4416" s="637"/>
      <c r="I4416" s="637"/>
      <c r="J4416" s="637"/>
    </row>
    <row r="4417" spans="1:10" x14ac:dyDescent="0.2">
      <c r="A4417" s="626"/>
      <c r="B4417" s="637"/>
      <c r="C4417" s="637"/>
      <c r="D4417" s="637"/>
      <c r="E4417" s="637"/>
      <c r="F4417" s="637"/>
      <c r="G4417" s="637"/>
      <c r="H4417" s="637"/>
      <c r="I4417" s="637"/>
      <c r="J4417" s="637"/>
    </row>
    <row r="4418" spans="1:10" x14ac:dyDescent="0.2">
      <c r="A4418" s="626"/>
      <c r="B4418" s="637"/>
      <c r="C4418" s="637"/>
      <c r="D4418" s="637"/>
      <c r="E4418" s="637"/>
      <c r="F4418" s="637"/>
      <c r="G4418" s="637"/>
      <c r="H4418" s="637"/>
      <c r="I4418" s="637"/>
      <c r="J4418" s="637"/>
    </row>
    <row r="4419" spans="1:10" x14ac:dyDescent="0.2">
      <c r="A4419" s="626"/>
      <c r="B4419" s="637"/>
      <c r="C4419" s="637"/>
      <c r="D4419" s="637"/>
      <c r="E4419" s="637"/>
      <c r="F4419" s="637"/>
      <c r="G4419" s="637"/>
      <c r="H4419" s="637"/>
      <c r="I4419" s="637"/>
      <c r="J4419" s="637"/>
    </row>
    <row r="4420" spans="1:10" x14ac:dyDescent="0.2">
      <c r="A4420" s="626"/>
      <c r="B4420" s="637"/>
      <c r="C4420" s="637"/>
      <c r="D4420" s="637"/>
      <c r="E4420" s="637"/>
      <c r="F4420" s="637"/>
      <c r="G4420" s="637"/>
      <c r="H4420" s="637"/>
      <c r="I4420" s="637"/>
      <c r="J4420" s="637"/>
    </row>
    <row r="4421" spans="1:10" x14ac:dyDescent="0.2">
      <c r="A4421" s="626"/>
      <c r="B4421" s="637"/>
      <c r="C4421" s="637"/>
      <c r="D4421" s="637"/>
      <c r="E4421" s="637"/>
      <c r="F4421" s="637"/>
      <c r="G4421" s="637"/>
      <c r="H4421" s="637"/>
      <c r="I4421" s="637"/>
      <c r="J4421" s="637"/>
    </row>
    <row r="4422" spans="1:10" x14ac:dyDescent="0.2">
      <c r="A4422" s="626"/>
      <c r="B4422" s="637"/>
      <c r="C4422" s="637"/>
      <c r="D4422" s="637"/>
      <c r="E4422" s="637"/>
      <c r="F4422" s="637"/>
      <c r="G4422" s="637"/>
      <c r="H4422" s="637"/>
      <c r="I4422" s="637"/>
      <c r="J4422" s="637"/>
    </row>
    <row r="4423" spans="1:10" x14ac:dyDescent="0.2">
      <c r="A4423" s="626"/>
      <c r="B4423" s="637"/>
      <c r="C4423" s="637"/>
      <c r="D4423" s="637"/>
      <c r="E4423" s="637"/>
      <c r="F4423" s="637"/>
      <c r="G4423" s="637"/>
      <c r="H4423" s="637"/>
      <c r="I4423" s="637"/>
      <c r="J4423" s="637"/>
    </row>
    <row r="4424" spans="1:10" x14ac:dyDescent="0.2">
      <c r="A4424" s="626"/>
      <c r="B4424" s="637"/>
      <c r="C4424" s="637"/>
      <c r="D4424" s="637"/>
      <c r="E4424" s="637"/>
      <c r="F4424" s="637"/>
      <c r="G4424" s="637"/>
      <c r="H4424" s="637"/>
      <c r="I4424" s="637"/>
      <c r="J4424" s="637"/>
    </row>
    <row r="4425" spans="1:10" x14ac:dyDescent="0.2">
      <c r="A4425" s="626"/>
      <c r="B4425" s="637"/>
      <c r="C4425" s="637"/>
      <c r="D4425" s="637"/>
      <c r="E4425" s="637"/>
      <c r="F4425" s="637"/>
      <c r="G4425" s="637"/>
      <c r="H4425" s="637"/>
      <c r="I4425" s="637"/>
      <c r="J4425" s="637"/>
    </row>
    <row r="4426" spans="1:10" x14ac:dyDescent="0.2">
      <c r="A4426" s="626"/>
      <c r="B4426" s="637"/>
      <c r="C4426" s="637"/>
      <c r="D4426" s="637"/>
      <c r="E4426" s="637"/>
      <c r="F4426" s="637"/>
      <c r="G4426" s="637"/>
      <c r="H4426" s="637"/>
      <c r="I4426" s="637"/>
      <c r="J4426" s="637"/>
    </row>
    <row r="4427" spans="1:10" x14ac:dyDescent="0.2">
      <c r="A4427" s="626"/>
      <c r="B4427" s="637"/>
      <c r="C4427" s="637"/>
      <c r="D4427" s="637"/>
      <c r="E4427" s="637"/>
      <c r="F4427" s="637"/>
      <c r="G4427" s="637"/>
      <c r="H4427" s="637"/>
      <c r="I4427" s="637"/>
      <c r="J4427" s="637"/>
    </row>
    <row r="4428" spans="1:10" x14ac:dyDescent="0.2">
      <c r="A4428" s="626"/>
      <c r="B4428" s="637"/>
      <c r="C4428" s="637"/>
      <c r="D4428" s="637"/>
      <c r="E4428" s="637"/>
      <c r="F4428" s="637"/>
      <c r="G4428" s="637"/>
      <c r="H4428" s="637"/>
      <c r="I4428" s="637"/>
      <c r="J4428" s="637"/>
    </row>
    <row r="4429" spans="1:10" x14ac:dyDescent="0.2">
      <c r="A4429" s="626"/>
      <c r="B4429" s="637"/>
      <c r="C4429" s="637"/>
      <c r="D4429" s="637"/>
      <c r="E4429" s="637"/>
      <c r="F4429" s="637"/>
      <c r="G4429" s="637"/>
      <c r="H4429" s="637"/>
      <c r="I4429" s="637"/>
      <c r="J4429" s="637"/>
    </row>
    <row r="4430" spans="1:10" x14ac:dyDescent="0.2">
      <c r="A4430" s="626"/>
      <c r="B4430" s="637"/>
      <c r="C4430" s="637"/>
      <c r="D4430" s="637"/>
      <c r="E4430" s="637"/>
      <c r="F4430" s="637"/>
      <c r="G4430" s="637"/>
      <c r="H4430" s="637"/>
      <c r="I4430" s="637"/>
      <c r="J4430" s="637"/>
    </row>
    <row r="4431" spans="1:10" x14ac:dyDescent="0.2">
      <c r="A4431" s="626"/>
      <c r="B4431" s="637"/>
      <c r="C4431" s="637"/>
      <c r="D4431" s="637"/>
      <c r="E4431" s="637"/>
      <c r="F4431" s="637"/>
      <c r="G4431" s="637"/>
      <c r="H4431" s="637"/>
      <c r="I4431" s="637"/>
      <c r="J4431" s="637"/>
    </row>
    <row r="4432" spans="1:10" x14ac:dyDescent="0.2">
      <c r="A4432" s="626"/>
      <c r="B4432" s="637"/>
      <c r="C4432" s="637"/>
      <c r="D4432" s="637"/>
      <c r="E4432" s="637"/>
      <c r="F4432" s="637"/>
      <c r="G4432" s="637"/>
      <c r="H4432" s="637"/>
      <c r="I4432" s="637"/>
      <c r="J4432" s="637"/>
    </row>
    <row r="4433" spans="1:10" x14ac:dyDescent="0.2">
      <c r="A4433" s="626"/>
      <c r="B4433" s="637"/>
      <c r="C4433" s="637"/>
      <c r="D4433" s="637"/>
      <c r="E4433" s="637"/>
      <c r="F4433" s="637"/>
      <c r="G4433" s="637"/>
      <c r="H4433" s="637"/>
      <c r="I4433" s="637"/>
      <c r="J4433" s="637"/>
    </row>
    <row r="4434" spans="1:10" x14ac:dyDescent="0.2">
      <c r="A4434" s="626"/>
      <c r="B4434" s="637"/>
      <c r="C4434" s="637"/>
      <c r="D4434" s="637"/>
      <c r="E4434" s="637"/>
      <c r="F4434" s="637"/>
      <c r="G4434" s="637"/>
      <c r="H4434" s="637"/>
      <c r="I4434" s="637"/>
      <c r="J4434" s="637"/>
    </row>
    <row r="4435" spans="1:10" x14ac:dyDescent="0.2">
      <c r="A4435" s="626"/>
      <c r="B4435" s="637"/>
      <c r="C4435" s="637"/>
      <c r="D4435" s="637"/>
      <c r="E4435" s="637"/>
      <c r="F4435" s="637"/>
      <c r="G4435" s="637"/>
      <c r="H4435" s="637"/>
      <c r="I4435" s="637"/>
      <c r="J4435" s="637"/>
    </row>
    <row r="4436" spans="1:10" x14ac:dyDescent="0.2">
      <c r="A4436" s="626"/>
      <c r="B4436" s="637"/>
      <c r="C4436" s="637"/>
      <c r="D4436" s="637"/>
      <c r="E4436" s="637"/>
      <c r="F4436" s="637"/>
      <c r="G4436" s="637"/>
      <c r="H4436" s="637"/>
      <c r="I4436" s="637"/>
      <c r="J4436" s="637"/>
    </row>
    <row r="4437" spans="1:10" x14ac:dyDescent="0.2">
      <c r="A4437" s="626"/>
      <c r="B4437" s="637"/>
      <c r="C4437" s="637"/>
      <c r="D4437" s="637"/>
      <c r="E4437" s="637"/>
      <c r="F4437" s="637"/>
      <c r="G4437" s="637"/>
      <c r="H4437" s="637"/>
      <c r="I4437" s="637"/>
      <c r="J4437" s="637"/>
    </row>
    <row r="4438" spans="1:10" x14ac:dyDescent="0.2">
      <c r="A4438" s="626"/>
      <c r="B4438" s="637"/>
      <c r="C4438" s="637"/>
      <c r="D4438" s="637"/>
      <c r="E4438" s="637"/>
      <c r="F4438" s="637"/>
      <c r="G4438" s="637"/>
      <c r="H4438" s="637"/>
      <c r="I4438" s="637"/>
      <c r="J4438" s="637"/>
    </row>
    <row r="4439" spans="1:10" x14ac:dyDescent="0.2">
      <c r="A4439" s="626"/>
      <c r="B4439" s="637"/>
      <c r="C4439" s="637"/>
      <c r="D4439" s="637"/>
      <c r="E4439" s="637"/>
      <c r="F4439" s="637"/>
      <c r="G4439" s="637"/>
      <c r="H4439" s="637"/>
      <c r="I4439" s="637"/>
      <c r="J4439" s="637"/>
    </row>
    <row r="4440" spans="1:10" x14ac:dyDescent="0.2">
      <c r="A4440" s="626"/>
      <c r="B4440" s="637"/>
      <c r="C4440" s="637"/>
      <c r="D4440" s="637"/>
      <c r="E4440" s="637"/>
      <c r="F4440" s="637"/>
      <c r="G4440" s="637"/>
      <c r="H4440" s="637"/>
      <c r="I4440" s="637"/>
      <c r="J4440" s="637"/>
    </row>
    <row r="4441" spans="1:10" x14ac:dyDescent="0.2">
      <c r="A4441" s="626"/>
      <c r="B4441" s="637"/>
      <c r="C4441" s="637"/>
      <c r="D4441" s="637"/>
      <c r="E4441" s="637"/>
      <c r="F4441" s="637"/>
      <c r="G4441" s="637"/>
      <c r="H4441" s="637"/>
      <c r="I4441" s="637"/>
      <c r="J4441" s="637"/>
    </row>
    <row r="4442" spans="1:10" x14ac:dyDescent="0.2">
      <c r="A4442" s="626"/>
      <c r="B4442" s="637"/>
      <c r="C4442" s="637"/>
      <c r="D4442" s="637"/>
      <c r="E4442" s="637"/>
      <c r="F4442" s="637"/>
      <c r="G4442" s="637"/>
      <c r="H4442" s="637"/>
      <c r="I4442" s="637"/>
      <c r="J4442" s="637"/>
    </row>
    <row r="4443" spans="1:10" x14ac:dyDescent="0.2">
      <c r="A4443" s="626"/>
      <c r="B4443" s="637"/>
      <c r="C4443" s="637"/>
      <c r="D4443" s="637"/>
      <c r="E4443" s="637"/>
      <c r="F4443" s="637"/>
      <c r="G4443" s="637"/>
      <c r="H4443" s="637"/>
      <c r="I4443" s="637"/>
      <c r="J4443" s="637"/>
    </row>
    <row r="4444" spans="1:10" x14ac:dyDescent="0.2">
      <c r="A4444" s="626"/>
      <c r="B4444" s="637"/>
      <c r="C4444" s="637"/>
      <c r="D4444" s="637"/>
      <c r="E4444" s="637"/>
      <c r="F4444" s="637"/>
      <c r="G4444" s="637"/>
      <c r="H4444" s="637"/>
      <c r="I4444" s="637"/>
      <c r="J4444" s="637"/>
    </row>
    <row r="4445" spans="1:10" x14ac:dyDescent="0.2">
      <c r="A4445" s="626"/>
      <c r="B4445" s="637"/>
      <c r="C4445" s="637"/>
      <c r="D4445" s="637"/>
      <c r="E4445" s="637"/>
      <c r="F4445" s="637"/>
      <c r="G4445" s="637"/>
      <c r="H4445" s="637"/>
      <c r="I4445" s="637"/>
      <c r="J4445" s="637"/>
    </row>
    <row r="4446" spans="1:10" x14ac:dyDescent="0.2">
      <c r="A4446" s="626"/>
      <c r="B4446" s="637"/>
      <c r="C4446" s="637"/>
      <c r="D4446" s="637"/>
      <c r="E4446" s="637"/>
      <c r="F4446" s="637"/>
      <c r="G4446" s="637"/>
      <c r="H4446" s="637"/>
      <c r="I4446" s="637"/>
      <c r="J4446" s="637"/>
    </row>
    <row r="4447" spans="1:10" x14ac:dyDescent="0.2">
      <c r="A4447" s="626"/>
      <c r="B4447" s="637"/>
      <c r="C4447" s="637"/>
      <c r="D4447" s="637"/>
      <c r="E4447" s="637"/>
      <c r="F4447" s="637"/>
      <c r="G4447" s="637"/>
      <c r="H4447" s="637"/>
      <c r="I4447" s="637"/>
      <c r="J4447" s="637"/>
    </row>
    <row r="4448" spans="1:10" x14ac:dyDescent="0.2">
      <c r="A4448" s="626"/>
      <c r="B4448" s="637"/>
      <c r="C4448" s="637"/>
      <c r="D4448" s="637"/>
      <c r="E4448" s="637"/>
      <c r="F4448" s="637"/>
      <c r="G4448" s="637"/>
      <c r="H4448" s="637"/>
      <c r="I4448" s="637"/>
      <c r="J4448" s="637"/>
    </row>
    <row r="4449" spans="1:10" x14ac:dyDescent="0.2">
      <c r="A4449" s="626"/>
      <c r="B4449" s="637"/>
      <c r="C4449" s="637"/>
      <c r="D4449" s="637"/>
      <c r="E4449" s="637"/>
      <c r="F4449" s="637"/>
      <c r="G4449" s="637"/>
      <c r="H4449" s="637"/>
      <c r="I4449" s="637"/>
      <c r="J4449" s="637"/>
    </row>
    <row r="4450" spans="1:10" x14ac:dyDescent="0.2">
      <c r="A4450" s="626"/>
      <c r="B4450" s="637"/>
      <c r="C4450" s="637"/>
      <c r="D4450" s="637"/>
      <c r="E4450" s="637"/>
      <c r="F4450" s="637"/>
      <c r="G4450" s="637"/>
      <c r="H4450" s="637"/>
      <c r="I4450" s="637"/>
      <c r="J4450" s="637"/>
    </row>
    <row r="4451" spans="1:10" x14ac:dyDescent="0.2">
      <c r="A4451" s="626"/>
      <c r="B4451" s="637"/>
      <c r="C4451" s="637"/>
      <c r="D4451" s="637"/>
      <c r="E4451" s="637"/>
      <c r="F4451" s="637"/>
      <c r="G4451" s="637"/>
      <c r="H4451" s="637"/>
      <c r="I4451" s="637"/>
      <c r="J4451" s="637"/>
    </row>
    <row r="4452" spans="1:10" x14ac:dyDescent="0.2">
      <c r="A4452" s="626"/>
      <c r="B4452" s="637"/>
      <c r="C4452" s="637"/>
      <c r="D4452" s="637"/>
      <c r="E4452" s="637"/>
      <c r="F4452" s="637"/>
      <c r="G4452" s="637"/>
      <c r="H4452" s="637"/>
      <c r="I4452" s="637"/>
      <c r="J4452" s="637"/>
    </row>
    <row r="4453" spans="1:10" x14ac:dyDescent="0.2">
      <c r="A4453" s="626"/>
      <c r="B4453" s="637"/>
      <c r="C4453" s="637"/>
      <c r="D4453" s="637"/>
      <c r="E4453" s="637"/>
      <c r="F4453" s="637"/>
      <c r="G4453" s="637"/>
      <c r="H4453" s="637"/>
      <c r="I4453" s="637"/>
      <c r="J4453" s="637"/>
    </row>
    <row r="4454" spans="1:10" x14ac:dyDescent="0.2">
      <c r="A4454" s="626"/>
      <c r="B4454" s="637"/>
      <c r="C4454" s="637"/>
      <c r="D4454" s="637"/>
      <c r="E4454" s="637"/>
      <c r="F4454" s="637"/>
      <c r="G4454" s="637"/>
      <c r="H4454" s="637"/>
      <c r="I4454" s="637"/>
      <c r="J4454" s="637"/>
    </row>
    <row r="4455" spans="1:10" x14ac:dyDescent="0.2">
      <c r="A4455" s="626"/>
      <c r="B4455" s="637"/>
      <c r="C4455" s="637"/>
      <c r="D4455" s="637"/>
      <c r="E4455" s="637"/>
      <c r="F4455" s="637"/>
      <c r="G4455" s="637"/>
      <c r="H4455" s="637"/>
      <c r="I4455" s="637"/>
      <c r="J4455" s="637"/>
    </row>
    <row r="4456" spans="1:10" x14ac:dyDescent="0.2">
      <c r="A4456" s="626"/>
      <c r="B4456" s="637"/>
      <c r="C4456" s="637"/>
      <c r="D4456" s="637"/>
      <c r="E4456" s="637"/>
      <c r="F4456" s="637"/>
      <c r="G4456" s="637"/>
      <c r="H4456" s="637"/>
      <c r="I4456" s="637"/>
      <c r="J4456" s="637"/>
    </row>
    <row r="4457" spans="1:10" x14ac:dyDescent="0.2">
      <c r="A4457" s="626"/>
      <c r="B4457" s="637"/>
      <c r="C4457" s="637"/>
      <c r="D4457" s="637"/>
      <c r="E4457" s="637"/>
      <c r="F4457" s="637"/>
      <c r="G4457" s="637"/>
      <c r="H4457" s="637"/>
      <c r="I4457" s="637"/>
      <c r="J4457" s="637"/>
    </row>
    <row r="4458" spans="1:10" x14ac:dyDescent="0.2">
      <c r="A4458" s="626"/>
      <c r="B4458" s="637"/>
      <c r="C4458" s="637"/>
      <c r="D4458" s="637"/>
      <c r="E4458" s="637"/>
      <c r="F4458" s="637"/>
      <c r="G4458" s="637"/>
      <c r="H4458" s="637"/>
      <c r="I4458" s="637"/>
      <c r="J4458" s="637"/>
    </row>
    <row r="4459" spans="1:10" x14ac:dyDescent="0.2">
      <c r="A4459" s="626"/>
      <c r="B4459" s="637"/>
      <c r="C4459" s="637"/>
      <c r="D4459" s="637"/>
      <c r="E4459" s="637"/>
      <c r="F4459" s="637"/>
      <c r="G4459" s="637"/>
      <c r="H4459" s="637"/>
      <c r="I4459" s="637"/>
      <c r="J4459" s="637"/>
    </row>
    <row r="4460" spans="1:10" x14ac:dyDescent="0.2">
      <c r="A4460" s="626"/>
      <c r="B4460" s="637"/>
      <c r="C4460" s="637"/>
      <c r="D4460" s="637"/>
      <c r="E4460" s="637"/>
      <c r="F4460" s="637"/>
      <c r="G4460" s="637"/>
      <c r="H4460" s="637"/>
      <c r="I4460" s="637"/>
      <c r="J4460" s="637"/>
    </row>
    <row r="4461" spans="1:10" x14ac:dyDescent="0.2">
      <c r="A4461" s="626"/>
      <c r="B4461" s="637"/>
      <c r="C4461" s="637"/>
      <c r="D4461" s="637"/>
      <c r="E4461" s="637"/>
      <c r="F4461" s="637"/>
      <c r="G4461" s="637"/>
      <c r="H4461" s="637"/>
      <c r="I4461" s="637"/>
      <c r="J4461" s="637"/>
    </row>
    <row r="4462" spans="1:10" x14ac:dyDescent="0.2">
      <c r="A4462" s="626"/>
      <c r="B4462" s="637"/>
      <c r="C4462" s="637"/>
      <c r="D4462" s="637"/>
      <c r="E4462" s="637"/>
      <c r="F4462" s="637"/>
      <c r="G4462" s="637"/>
      <c r="H4462" s="637"/>
      <c r="I4462" s="637"/>
      <c r="J4462" s="637"/>
    </row>
    <row r="4463" spans="1:10" x14ac:dyDescent="0.2">
      <c r="A4463" s="626"/>
      <c r="B4463" s="637"/>
      <c r="C4463" s="637"/>
      <c r="D4463" s="637"/>
      <c r="E4463" s="637"/>
      <c r="F4463" s="637"/>
      <c r="G4463" s="637"/>
      <c r="H4463" s="637"/>
      <c r="I4463" s="637"/>
      <c r="J4463" s="637"/>
    </row>
    <row r="4464" spans="1:10" x14ac:dyDescent="0.2">
      <c r="A4464" s="626"/>
      <c r="B4464" s="637"/>
      <c r="C4464" s="637"/>
      <c r="D4464" s="637"/>
      <c r="E4464" s="637"/>
      <c r="F4464" s="637"/>
      <c r="G4464" s="637"/>
      <c r="H4464" s="637"/>
      <c r="I4464" s="637"/>
      <c r="J4464" s="637"/>
    </row>
    <row r="4465" spans="1:10" x14ac:dyDescent="0.2">
      <c r="A4465" s="626"/>
      <c r="B4465" s="637"/>
      <c r="C4465" s="637"/>
      <c r="D4465" s="637"/>
      <c r="E4465" s="637"/>
      <c r="F4465" s="637"/>
      <c r="G4465" s="637"/>
      <c r="H4465" s="637"/>
      <c r="I4465" s="637"/>
      <c r="J4465" s="637"/>
    </row>
    <row r="4466" spans="1:10" x14ac:dyDescent="0.2">
      <c r="A4466" s="626"/>
      <c r="B4466" s="637"/>
      <c r="C4466" s="637"/>
      <c r="D4466" s="637"/>
      <c r="E4466" s="637"/>
      <c r="F4466" s="637"/>
      <c r="G4466" s="637"/>
      <c r="H4466" s="637"/>
      <c r="I4466" s="637"/>
      <c r="J4466" s="637"/>
    </row>
    <row r="4467" spans="1:10" x14ac:dyDescent="0.2">
      <c r="A4467" s="626"/>
      <c r="B4467" s="637"/>
      <c r="C4467" s="637"/>
      <c r="D4467" s="637"/>
      <c r="E4467" s="637"/>
      <c r="F4467" s="637"/>
      <c r="G4467" s="637"/>
      <c r="H4467" s="637"/>
      <c r="I4467" s="637"/>
      <c r="J4467" s="637"/>
    </row>
    <row r="4468" spans="1:10" x14ac:dyDescent="0.2">
      <c r="A4468" s="626"/>
      <c r="B4468" s="637"/>
      <c r="C4468" s="637"/>
      <c r="D4468" s="637"/>
      <c r="E4468" s="637"/>
      <c r="F4468" s="637"/>
      <c r="G4468" s="637"/>
      <c r="H4468" s="637"/>
      <c r="I4468" s="637"/>
      <c r="J4468" s="637"/>
    </row>
    <row r="4469" spans="1:10" x14ac:dyDescent="0.2">
      <c r="A4469" s="626"/>
      <c r="B4469" s="637"/>
      <c r="C4469" s="637"/>
      <c r="D4469" s="637"/>
      <c r="E4469" s="637"/>
      <c r="F4469" s="637"/>
      <c r="G4469" s="637"/>
      <c r="H4469" s="637"/>
      <c r="I4469" s="637"/>
      <c r="J4469" s="637"/>
    </row>
    <row r="4470" spans="1:10" x14ac:dyDescent="0.2">
      <c r="A4470" s="626"/>
      <c r="B4470" s="637"/>
      <c r="C4470" s="637"/>
      <c r="D4470" s="637"/>
      <c r="E4470" s="637"/>
      <c r="F4470" s="637"/>
      <c r="G4470" s="637"/>
      <c r="H4470" s="637"/>
      <c r="I4470" s="637"/>
      <c r="J4470" s="637"/>
    </row>
    <row r="4471" spans="1:10" x14ac:dyDescent="0.2">
      <c r="A4471" s="626"/>
      <c r="B4471" s="637"/>
      <c r="C4471" s="637"/>
      <c r="D4471" s="637"/>
      <c r="E4471" s="637"/>
      <c r="F4471" s="637"/>
      <c r="G4471" s="637"/>
      <c r="H4471" s="637"/>
      <c r="I4471" s="637"/>
      <c r="J4471" s="637"/>
    </row>
    <row r="4472" spans="1:10" x14ac:dyDescent="0.2">
      <c r="A4472" s="626"/>
      <c r="B4472" s="637"/>
      <c r="C4472" s="637"/>
      <c r="D4472" s="637"/>
      <c r="E4472" s="637"/>
      <c r="F4472" s="637"/>
      <c r="G4472" s="637"/>
      <c r="H4472" s="637"/>
      <c r="I4472" s="637"/>
      <c r="J4472" s="637"/>
    </row>
    <row r="4473" spans="1:10" x14ac:dyDescent="0.2">
      <c r="A4473" s="626"/>
      <c r="B4473" s="637"/>
      <c r="C4473" s="637"/>
      <c r="D4473" s="637"/>
      <c r="E4473" s="637"/>
      <c r="F4473" s="637"/>
      <c r="G4473" s="637"/>
      <c r="H4473" s="637"/>
      <c r="I4473" s="637"/>
      <c r="J4473" s="637"/>
    </row>
    <row r="4474" spans="1:10" x14ac:dyDescent="0.2">
      <c r="A4474" s="626"/>
      <c r="B4474" s="637"/>
      <c r="C4474" s="637"/>
      <c r="D4474" s="637"/>
      <c r="E4474" s="637"/>
      <c r="F4474" s="637"/>
      <c r="G4474" s="637"/>
      <c r="H4474" s="637"/>
      <c r="I4474" s="637"/>
      <c r="J4474" s="637"/>
    </row>
    <row r="4475" spans="1:10" x14ac:dyDescent="0.2">
      <c r="A4475" s="626"/>
      <c r="B4475" s="637"/>
      <c r="C4475" s="637"/>
      <c r="D4475" s="637"/>
      <c r="E4475" s="637"/>
      <c r="F4475" s="637"/>
      <c r="G4475" s="637"/>
      <c r="H4475" s="637"/>
      <c r="I4475" s="637"/>
      <c r="J4475" s="637"/>
    </row>
    <row r="4476" spans="1:10" x14ac:dyDescent="0.2">
      <c r="A4476" s="626"/>
      <c r="B4476" s="637"/>
      <c r="C4476" s="637"/>
      <c r="D4476" s="637"/>
      <c r="E4476" s="637"/>
      <c r="F4476" s="637"/>
      <c r="G4476" s="637"/>
      <c r="H4476" s="637"/>
      <c r="I4476" s="637"/>
      <c r="J4476" s="637"/>
    </row>
    <row r="4477" spans="1:10" x14ac:dyDescent="0.2">
      <c r="A4477" s="626"/>
      <c r="B4477" s="637"/>
      <c r="C4477" s="637"/>
      <c r="D4477" s="637"/>
      <c r="E4477" s="637"/>
      <c r="F4477" s="637"/>
      <c r="G4477" s="637"/>
      <c r="H4477" s="637"/>
      <c r="I4477" s="637"/>
      <c r="J4477" s="637"/>
    </row>
    <row r="4478" spans="1:10" x14ac:dyDescent="0.2">
      <c r="A4478" s="626"/>
      <c r="B4478" s="637"/>
      <c r="C4478" s="637"/>
      <c r="D4478" s="637"/>
      <c r="E4478" s="637"/>
      <c r="F4478" s="637"/>
      <c r="G4478" s="637"/>
      <c r="H4478" s="637"/>
      <c r="I4478" s="637"/>
      <c r="J4478" s="637"/>
    </row>
    <row r="4479" spans="1:10" x14ac:dyDescent="0.2">
      <c r="A4479" s="626"/>
      <c r="B4479" s="637"/>
      <c r="C4479" s="637"/>
      <c r="D4479" s="637"/>
      <c r="E4479" s="637"/>
      <c r="F4479" s="637"/>
      <c r="G4479" s="637"/>
      <c r="H4479" s="637"/>
      <c r="I4479" s="637"/>
      <c r="J4479" s="637"/>
    </row>
    <row r="4480" spans="1:10" x14ac:dyDescent="0.2">
      <c r="A4480" s="626"/>
      <c r="B4480" s="637"/>
      <c r="C4480" s="637"/>
      <c r="D4480" s="637"/>
      <c r="E4480" s="637"/>
      <c r="F4480" s="637"/>
      <c r="G4480" s="637"/>
      <c r="H4480" s="637"/>
      <c r="I4480" s="637"/>
      <c r="J4480" s="637"/>
    </row>
    <row r="4481" spans="1:10" x14ac:dyDescent="0.2">
      <c r="A4481" s="626"/>
      <c r="B4481" s="637"/>
      <c r="C4481" s="637"/>
      <c r="D4481" s="637"/>
      <c r="E4481" s="637"/>
      <c r="F4481" s="637"/>
      <c r="G4481" s="637"/>
      <c r="H4481" s="637"/>
      <c r="I4481" s="637"/>
      <c r="J4481" s="637"/>
    </row>
    <row r="4482" spans="1:10" x14ac:dyDescent="0.2">
      <c r="A4482" s="626"/>
      <c r="B4482" s="637"/>
      <c r="C4482" s="637"/>
      <c r="D4482" s="637"/>
      <c r="E4482" s="637"/>
      <c r="F4482" s="637"/>
      <c r="G4482" s="637"/>
      <c r="H4482" s="637"/>
      <c r="I4482" s="637"/>
      <c r="J4482" s="637"/>
    </row>
    <row r="4483" spans="1:10" x14ac:dyDescent="0.2">
      <c r="A4483" s="625"/>
      <c r="B4483" s="637"/>
      <c r="C4483" s="637"/>
      <c r="D4483" s="637"/>
      <c r="E4483" s="637"/>
      <c r="F4483" s="637"/>
      <c r="G4483" s="637"/>
      <c r="H4483" s="637"/>
      <c r="I4483" s="637"/>
      <c r="J4483" s="637"/>
    </row>
    <row r="4484" spans="1:10" x14ac:dyDescent="0.2">
      <c r="A4484" s="626"/>
      <c r="B4484" s="637"/>
      <c r="C4484" s="637"/>
      <c r="D4484" s="637"/>
      <c r="E4484" s="637"/>
      <c r="F4484" s="637"/>
      <c r="G4484" s="637"/>
      <c r="H4484" s="637"/>
      <c r="I4484" s="637"/>
      <c r="J4484" s="637"/>
    </row>
    <row r="4485" spans="1:10" x14ac:dyDescent="0.2">
      <c r="A4485" s="626"/>
      <c r="B4485" s="637"/>
      <c r="C4485" s="637"/>
      <c r="D4485" s="637"/>
      <c r="E4485" s="637"/>
      <c r="F4485" s="637"/>
      <c r="G4485" s="637"/>
      <c r="H4485" s="637"/>
      <c r="I4485" s="637"/>
      <c r="J4485" s="637"/>
    </row>
    <row r="4486" spans="1:10" x14ac:dyDescent="0.2">
      <c r="A4486" s="625"/>
      <c r="B4486" s="637"/>
      <c r="C4486" s="637"/>
      <c r="D4486" s="637"/>
      <c r="E4486" s="637"/>
      <c r="F4486" s="637"/>
      <c r="G4486" s="637"/>
      <c r="H4486" s="637"/>
      <c r="I4486" s="637"/>
      <c r="J4486" s="637"/>
    </row>
    <row r="4487" spans="1:10" x14ac:dyDescent="0.2">
      <c r="A4487" s="626"/>
      <c r="B4487" s="637"/>
      <c r="C4487" s="637"/>
      <c r="D4487" s="637"/>
      <c r="E4487" s="637"/>
      <c r="F4487" s="637"/>
      <c r="G4487" s="637"/>
      <c r="H4487" s="637"/>
      <c r="I4487" s="637"/>
      <c r="J4487" s="637"/>
    </row>
    <row r="4488" spans="1:10" x14ac:dyDescent="0.2">
      <c r="A4488" s="625"/>
      <c r="B4488" s="637"/>
      <c r="C4488" s="637"/>
      <c r="D4488" s="637"/>
      <c r="E4488" s="637"/>
      <c r="F4488" s="637"/>
      <c r="G4488" s="637"/>
      <c r="H4488" s="637"/>
      <c r="I4488" s="637"/>
      <c r="J4488" s="637"/>
    </row>
    <row r="4489" spans="1:10" x14ac:dyDescent="0.2">
      <c r="A4489" s="626"/>
      <c r="B4489" s="637"/>
      <c r="C4489" s="637"/>
      <c r="D4489" s="637"/>
      <c r="E4489" s="637"/>
      <c r="F4489" s="637"/>
      <c r="G4489" s="637"/>
      <c r="H4489" s="637"/>
      <c r="I4489" s="637"/>
      <c r="J4489" s="637"/>
    </row>
    <row r="4490" spans="1:10" x14ac:dyDescent="0.2">
      <c r="A4490" s="625"/>
      <c r="B4490" s="637"/>
      <c r="C4490" s="637"/>
      <c r="D4490" s="637"/>
      <c r="E4490" s="637"/>
      <c r="F4490" s="637"/>
      <c r="G4490" s="637"/>
      <c r="H4490" s="637"/>
      <c r="I4490" s="637"/>
      <c r="J4490" s="637"/>
    </row>
    <row r="4491" spans="1:10" x14ac:dyDescent="0.2">
      <c r="A4491" s="626"/>
      <c r="B4491" s="637"/>
      <c r="C4491" s="637"/>
      <c r="D4491" s="637"/>
      <c r="E4491" s="637"/>
      <c r="F4491" s="637"/>
      <c r="G4491" s="637"/>
      <c r="H4491" s="637"/>
      <c r="I4491" s="637"/>
      <c r="J4491" s="637"/>
    </row>
    <row r="4492" spans="1:10" x14ac:dyDescent="0.2">
      <c r="A4492" s="625"/>
      <c r="B4492" s="637"/>
      <c r="C4492" s="637"/>
      <c r="D4492" s="637"/>
      <c r="E4492" s="637"/>
      <c r="F4492" s="637"/>
      <c r="G4492" s="637"/>
      <c r="H4492" s="637"/>
      <c r="I4492" s="637"/>
      <c r="J4492" s="637"/>
    </row>
    <row r="4493" spans="1:10" x14ac:dyDescent="0.2">
      <c r="A4493" s="626"/>
      <c r="B4493" s="637"/>
      <c r="C4493" s="637"/>
      <c r="D4493" s="637"/>
      <c r="E4493" s="637"/>
      <c r="F4493" s="637"/>
      <c r="G4493" s="637"/>
      <c r="H4493" s="637"/>
      <c r="I4493" s="637"/>
      <c r="J4493" s="637"/>
    </row>
    <row r="4494" spans="1:10" x14ac:dyDescent="0.2">
      <c r="A4494" s="625"/>
      <c r="B4494" s="637"/>
      <c r="C4494" s="637"/>
      <c r="D4494" s="637"/>
      <c r="E4494" s="637"/>
      <c r="F4494" s="637"/>
      <c r="G4494" s="637"/>
      <c r="H4494" s="637"/>
      <c r="I4494" s="637"/>
      <c r="J4494" s="637"/>
    </row>
    <row r="4495" spans="1:10" x14ac:dyDescent="0.2">
      <c r="A4495" s="626"/>
      <c r="B4495" s="637"/>
      <c r="C4495" s="637"/>
      <c r="D4495" s="637"/>
      <c r="E4495" s="637"/>
      <c r="F4495" s="637"/>
      <c r="G4495" s="637"/>
      <c r="H4495" s="637"/>
      <c r="I4495" s="637"/>
      <c r="J4495" s="637"/>
    </row>
    <row r="4496" spans="1:10" x14ac:dyDescent="0.2">
      <c r="A4496" s="626"/>
      <c r="B4496" s="637"/>
      <c r="C4496" s="637"/>
      <c r="D4496" s="637"/>
      <c r="E4496" s="637"/>
      <c r="F4496" s="637"/>
      <c r="G4496" s="637"/>
      <c r="H4496" s="637"/>
      <c r="I4496" s="637"/>
      <c r="J4496" s="637"/>
    </row>
    <row r="4497" spans="1:10" x14ac:dyDescent="0.2">
      <c r="A4497" s="626"/>
      <c r="B4497" s="637"/>
      <c r="C4497" s="637"/>
      <c r="D4497" s="637"/>
      <c r="E4497" s="637"/>
      <c r="F4497" s="637"/>
      <c r="G4497" s="637"/>
      <c r="H4497" s="637"/>
      <c r="I4497" s="637"/>
      <c r="J4497" s="637"/>
    </row>
    <row r="4498" spans="1:10" x14ac:dyDescent="0.2">
      <c r="A4498" s="626"/>
      <c r="B4498" s="637"/>
      <c r="C4498" s="637"/>
      <c r="D4498" s="637"/>
      <c r="E4498" s="637"/>
      <c r="F4498" s="637"/>
      <c r="G4498" s="637"/>
      <c r="H4498" s="637"/>
      <c r="I4498" s="637"/>
      <c r="J4498" s="637"/>
    </row>
    <row r="4499" spans="1:10" x14ac:dyDescent="0.2">
      <c r="A4499" s="626"/>
      <c r="B4499" s="637"/>
      <c r="C4499" s="637"/>
      <c r="D4499" s="637"/>
      <c r="E4499" s="637"/>
      <c r="F4499" s="637"/>
      <c r="G4499" s="637"/>
      <c r="H4499" s="637"/>
      <c r="I4499" s="637"/>
      <c r="J4499" s="637"/>
    </row>
    <row r="4500" spans="1:10" x14ac:dyDescent="0.2">
      <c r="A4500" s="626"/>
      <c r="B4500" s="637"/>
      <c r="C4500" s="637"/>
      <c r="D4500" s="637"/>
      <c r="E4500" s="637"/>
      <c r="F4500" s="637"/>
      <c r="G4500" s="637"/>
      <c r="H4500" s="637"/>
      <c r="I4500" s="637"/>
      <c r="J4500" s="637"/>
    </row>
    <row r="4501" spans="1:10" x14ac:dyDescent="0.2">
      <c r="A4501" s="626"/>
      <c r="B4501" s="637"/>
      <c r="C4501" s="637"/>
      <c r="D4501" s="637"/>
      <c r="E4501" s="637"/>
      <c r="F4501" s="637"/>
      <c r="G4501" s="637"/>
      <c r="H4501" s="637"/>
      <c r="I4501" s="637"/>
      <c r="J4501" s="637"/>
    </row>
    <row r="4502" spans="1:10" x14ac:dyDescent="0.2">
      <c r="A4502" s="626"/>
      <c r="B4502" s="637"/>
      <c r="C4502" s="637"/>
      <c r="D4502" s="637"/>
      <c r="E4502" s="637"/>
      <c r="F4502" s="637"/>
      <c r="G4502" s="637"/>
      <c r="H4502" s="637"/>
      <c r="I4502" s="637"/>
      <c r="J4502" s="637"/>
    </row>
    <row r="4503" spans="1:10" x14ac:dyDescent="0.2">
      <c r="A4503" s="626"/>
      <c r="B4503" s="637"/>
      <c r="C4503" s="637"/>
      <c r="D4503" s="637"/>
      <c r="E4503" s="637"/>
      <c r="F4503" s="637"/>
      <c r="G4503" s="637"/>
      <c r="H4503" s="637"/>
      <c r="I4503" s="637"/>
      <c r="J4503" s="637"/>
    </row>
    <row r="4504" spans="1:10" x14ac:dyDescent="0.2">
      <c r="A4504" s="626"/>
      <c r="B4504" s="637"/>
      <c r="C4504" s="637"/>
      <c r="D4504" s="637"/>
      <c r="E4504" s="637"/>
      <c r="F4504" s="637"/>
      <c r="G4504" s="637"/>
      <c r="H4504" s="637"/>
      <c r="I4504" s="637"/>
      <c r="J4504" s="637"/>
    </row>
    <row r="4505" spans="1:10" x14ac:dyDescent="0.2">
      <c r="A4505" s="626"/>
      <c r="B4505" s="637"/>
      <c r="C4505" s="637"/>
      <c r="D4505" s="637"/>
      <c r="E4505" s="637"/>
      <c r="F4505" s="637"/>
      <c r="G4505" s="637"/>
      <c r="H4505" s="637"/>
      <c r="I4505" s="637"/>
      <c r="J4505" s="637"/>
    </row>
    <row r="4506" spans="1:10" x14ac:dyDescent="0.2">
      <c r="A4506" s="626"/>
      <c r="B4506" s="637"/>
      <c r="C4506" s="637"/>
      <c r="D4506" s="637"/>
      <c r="E4506" s="637"/>
      <c r="F4506" s="637"/>
      <c r="G4506" s="637"/>
      <c r="H4506" s="637"/>
      <c r="I4506" s="637"/>
      <c r="J4506" s="637"/>
    </row>
    <row r="4507" spans="1:10" x14ac:dyDescent="0.2">
      <c r="A4507" s="626"/>
      <c r="B4507" s="637"/>
      <c r="C4507" s="637"/>
      <c r="D4507" s="637"/>
      <c r="E4507" s="637"/>
      <c r="F4507" s="637"/>
      <c r="G4507" s="637"/>
      <c r="H4507" s="637"/>
      <c r="I4507" s="637"/>
      <c r="J4507" s="637"/>
    </row>
    <row r="4508" spans="1:10" x14ac:dyDescent="0.2">
      <c r="A4508" s="626"/>
      <c r="B4508" s="637"/>
      <c r="C4508" s="637"/>
      <c r="D4508" s="637"/>
      <c r="E4508" s="637"/>
      <c r="F4508" s="637"/>
      <c r="G4508" s="637"/>
      <c r="H4508" s="637"/>
      <c r="I4508" s="637"/>
      <c r="J4508" s="637"/>
    </row>
    <row r="4509" spans="1:10" x14ac:dyDescent="0.2">
      <c r="A4509" s="626"/>
      <c r="B4509" s="637"/>
      <c r="C4509" s="637"/>
      <c r="D4509" s="637"/>
      <c r="E4509" s="637"/>
      <c r="F4509" s="637"/>
      <c r="G4509" s="637"/>
      <c r="H4509" s="637"/>
      <c r="I4509" s="637"/>
      <c r="J4509" s="637"/>
    </row>
    <row r="4510" spans="1:10" x14ac:dyDescent="0.2">
      <c r="A4510" s="626"/>
      <c r="B4510" s="637"/>
      <c r="C4510" s="637"/>
      <c r="D4510" s="637"/>
      <c r="E4510" s="637"/>
      <c r="F4510" s="637"/>
      <c r="G4510" s="637"/>
      <c r="H4510" s="637"/>
      <c r="I4510" s="637"/>
      <c r="J4510" s="637"/>
    </row>
    <row r="4511" spans="1:10" x14ac:dyDescent="0.2">
      <c r="A4511" s="626"/>
      <c r="B4511" s="637"/>
      <c r="C4511" s="637"/>
      <c r="D4511" s="637"/>
      <c r="E4511" s="637"/>
      <c r="F4511" s="637"/>
      <c r="G4511" s="637"/>
      <c r="H4511" s="637"/>
      <c r="I4511" s="637"/>
      <c r="J4511" s="637"/>
    </row>
    <row r="4512" spans="1:10" x14ac:dyDescent="0.2">
      <c r="A4512" s="626"/>
      <c r="B4512" s="637"/>
      <c r="C4512" s="637"/>
      <c r="D4512" s="637"/>
      <c r="E4512" s="637"/>
      <c r="F4512" s="637"/>
      <c r="G4512" s="637"/>
      <c r="H4512" s="637"/>
      <c r="I4512" s="637"/>
      <c r="J4512" s="637"/>
    </row>
    <row r="4513" spans="1:10" x14ac:dyDescent="0.2">
      <c r="A4513" s="626"/>
      <c r="B4513" s="637"/>
      <c r="C4513" s="637"/>
      <c r="D4513" s="637"/>
      <c r="E4513" s="637"/>
      <c r="F4513" s="637"/>
      <c r="G4513" s="637"/>
      <c r="H4513" s="637"/>
      <c r="I4513" s="637"/>
      <c r="J4513" s="637"/>
    </row>
    <row r="4514" spans="1:10" x14ac:dyDescent="0.2">
      <c r="A4514" s="626"/>
      <c r="B4514" s="637"/>
      <c r="C4514" s="637"/>
      <c r="D4514" s="637"/>
      <c r="E4514" s="637"/>
      <c r="F4514" s="637"/>
      <c r="G4514" s="637"/>
      <c r="H4514" s="637"/>
      <c r="I4514" s="637"/>
      <c r="J4514" s="637"/>
    </row>
    <row r="4515" spans="1:10" x14ac:dyDescent="0.2">
      <c r="A4515" s="626"/>
      <c r="B4515" s="637"/>
      <c r="C4515" s="637"/>
      <c r="D4515" s="637"/>
      <c r="E4515" s="637"/>
      <c r="F4515" s="637"/>
      <c r="G4515" s="637"/>
      <c r="H4515" s="637"/>
      <c r="I4515" s="637"/>
      <c r="J4515" s="637"/>
    </row>
    <row r="4516" spans="1:10" x14ac:dyDescent="0.2">
      <c r="A4516" s="626"/>
      <c r="B4516" s="637"/>
      <c r="C4516" s="637"/>
      <c r="D4516" s="637"/>
      <c r="E4516" s="637"/>
      <c r="F4516" s="637"/>
      <c r="G4516" s="637"/>
      <c r="H4516" s="637"/>
      <c r="I4516" s="637"/>
      <c r="J4516" s="637"/>
    </row>
    <row r="4517" spans="1:10" x14ac:dyDescent="0.2">
      <c r="A4517" s="626"/>
      <c r="B4517" s="637"/>
      <c r="C4517" s="637"/>
      <c r="D4517" s="637"/>
      <c r="E4517" s="637"/>
      <c r="F4517" s="637"/>
      <c r="G4517" s="637"/>
      <c r="H4517" s="637"/>
      <c r="I4517" s="637"/>
      <c r="J4517" s="637"/>
    </row>
    <row r="4518" spans="1:10" x14ac:dyDescent="0.2">
      <c r="A4518" s="626"/>
      <c r="B4518" s="637"/>
      <c r="C4518" s="637"/>
      <c r="D4518" s="637"/>
      <c r="E4518" s="637"/>
      <c r="F4518" s="637"/>
      <c r="G4518" s="637"/>
      <c r="H4518" s="637"/>
      <c r="I4518" s="637"/>
      <c r="J4518" s="637"/>
    </row>
    <row r="4519" spans="1:10" x14ac:dyDescent="0.2">
      <c r="A4519" s="626"/>
      <c r="B4519" s="637"/>
      <c r="C4519" s="637"/>
      <c r="D4519" s="637"/>
      <c r="E4519" s="637"/>
      <c r="F4519" s="637"/>
      <c r="G4519" s="637"/>
      <c r="H4519" s="637"/>
      <c r="I4519" s="637"/>
      <c r="J4519" s="637"/>
    </row>
    <row r="4520" spans="1:10" x14ac:dyDescent="0.2">
      <c r="A4520" s="626"/>
      <c r="B4520" s="637"/>
      <c r="C4520" s="637"/>
      <c r="D4520" s="637"/>
      <c r="E4520" s="637"/>
      <c r="F4520" s="637"/>
      <c r="G4520" s="637"/>
      <c r="H4520" s="637"/>
      <c r="I4520" s="637"/>
      <c r="J4520" s="637"/>
    </row>
    <row r="4521" spans="1:10" x14ac:dyDescent="0.2">
      <c r="A4521" s="626"/>
      <c r="B4521" s="637"/>
      <c r="C4521" s="637"/>
      <c r="D4521" s="637"/>
      <c r="E4521" s="637"/>
      <c r="F4521" s="637"/>
      <c r="G4521" s="637"/>
      <c r="H4521" s="637"/>
      <c r="I4521" s="637"/>
      <c r="J4521" s="637"/>
    </row>
    <row r="4522" spans="1:10" x14ac:dyDescent="0.2">
      <c r="A4522" s="626"/>
      <c r="B4522" s="637"/>
      <c r="C4522" s="637"/>
      <c r="D4522" s="637"/>
      <c r="E4522" s="637"/>
      <c r="F4522" s="637"/>
      <c r="G4522" s="637"/>
      <c r="H4522" s="637"/>
      <c r="I4522" s="637"/>
      <c r="J4522" s="637"/>
    </row>
    <row r="4523" spans="1:10" x14ac:dyDescent="0.2">
      <c r="A4523" s="626"/>
      <c r="B4523" s="637"/>
      <c r="C4523" s="637"/>
      <c r="D4523" s="637"/>
      <c r="E4523" s="637"/>
      <c r="F4523" s="637"/>
      <c r="G4523" s="637"/>
      <c r="H4523" s="637"/>
      <c r="I4523" s="637"/>
      <c r="J4523" s="637"/>
    </row>
    <row r="4524" spans="1:10" x14ac:dyDescent="0.2">
      <c r="A4524" s="626"/>
      <c r="B4524" s="637"/>
      <c r="C4524" s="637"/>
      <c r="D4524" s="637"/>
      <c r="E4524" s="637"/>
      <c r="F4524" s="637"/>
      <c r="G4524" s="637"/>
      <c r="H4524" s="637"/>
      <c r="I4524" s="637"/>
      <c r="J4524" s="637"/>
    </row>
    <row r="4525" spans="1:10" x14ac:dyDescent="0.2">
      <c r="A4525" s="626"/>
      <c r="B4525" s="637"/>
      <c r="C4525" s="637"/>
      <c r="D4525" s="637"/>
      <c r="E4525" s="637"/>
      <c r="F4525" s="637"/>
      <c r="G4525" s="637"/>
      <c r="H4525" s="637"/>
      <c r="I4525" s="637"/>
      <c r="J4525" s="637"/>
    </row>
    <row r="4526" spans="1:10" x14ac:dyDescent="0.2">
      <c r="A4526" s="626"/>
      <c r="B4526" s="637"/>
      <c r="C4526" s="637"/>
      <c r="D4526" s="637"/>
      <c r="E4526" s="637"/>
      <c r="F4526" s="637"/>
      <c r="G4526" s="637"/>
      <c r="H4526" s="637"/>
      <c r="I4526" s="637"/>
      <c r="J4526" s="637"/>
    </row>
    <row r="4527" spans="1:10" x14ac:dyDescent="0.2">
      <c r="A4527" s="626"/>
      <c r="B4527" s="637"/>
      <c r="C4527" s="637"/>
      <c r="D4527" s="637"/>
      <c r="E4527" s="637"/>
      <c r="F4527" s="637"/>
      <c r="G4527" s="637"/>
      <c r="H4527" s="637"/>
      <c r="I4527" s="637"/>
      <c r="J4527" s="637"/>
    </row>
    <row r="4528" spans="1:10" x14ac:dyDescent="0.2">
      <c r="A4528" s="626"/>
      <c r="B4528" s="637"/>
      <c r="C4528" s="637"/>
      <c r="D4528" s="637"/>
      <c r="E4528" s="637"/>
      <c r="F4528" s="637"/>
      <c r="G4528" s="637"/>
      <c r="H4528" s="637"/>
      <c r="I4528" s="637"/>
      <c r="J4528" s="637"/>
    </row>
    <row r="4529" spans="1:10" x14ac:dyDescent="0.2">
      <c r="A4529" s="626"/>
      <c r="B4529" s="637"/>
      <c r="C4529" s="637"/>
      <c r="D4529" s="637"/>
      <c r="E4529" s="637"/>
      <c r="F4529" s="637"/>
      <c r="G4529" s="637"/>
      <c r="H4529" s="637"/>
      <c r="I4529" s="637"/>
      <c r="J4529" s="637"/>
    </row>
    <row r="4530" spans="1:10" x14ac:dyDescent="0.2">
      <c r="A4530" s="626"/>
      <c r="B4530" s="637"/>
      <c r="C4530" s="637"/>
      <c r="D4530" s="637"/>
      <c r="E4530" s="637"/>
      <c r="F4530" s="637"/>
      <c r="G4530" s="637"/>
      <c r="H4530" s="637"/>
      <c r="I4530" s="637"/>
      <c r="J4530" s="637"/>
    </row>
    <row r="4531" spans="1:10" x14ac:dyDescent="0.2">
      <c r="A4531" s="626"/>
      <c r="B4531" s="637"/>
      <c r="C4531" s="637"/>
      <c r="D4531" s="637"/>
      <c r="E4531" s="637"/>
      <c r="F4531" s="637"/>
      <c r="G4531" s="637"/>
      <c r="H4531" s="637"/>
      <c r="I4531" s="637"/>
      <c r="J4531" s="637"/>
    </row>
    <row r="4532" spans="1:10" x14ac:dyDescent="0.2">
      <c r="A4532" s="626"/>
      <c r="B4532" s="637"/>
      <c r="C4532" s="637"/>
      <c r="D4532" s="637"/>
      <c r="E4532" s="637"/>
      <c r="F4532" s="637"/>
      <c r="G4532" s="637"/>
      <c r="H4532" s="637"/>
      <c r="I4532" s="637"/>
      <c r="J4532" s="637"/>
    </row>
    <row r="4533" spans="1:10" x14ac:dyDescent="0.2">
      <c r="A4533" s="626"/>
      <c r="B4533" s="637"/>
      <c r="C4533" s="637"/>
      <c r="D4533" s="637"/>
      <c r="E4533" s="637"/>
      <c r="F4533" s="637"/>
      <c r="G4533" s="637"/>
      <c r="H4533" s="637"/>
      <c r="I4533" s="637"/>
      <c r="J4533" s="637"/>
    </row>
    <row r="4534" spans="1:10" x14ac:dyDescent="0.2">
      <c r="A4534" s="626"/>
      <c r="B4534" s="637"/>
      <c r="C4534" s="637"/>
      <c r="D4534" s="637"/>
      <c r="E4534" s="637"/>
      <c r="F4534" s="637"/>
      <c r="G4534" s="637"/>
      <c r="H4534" s="637"/>
      <c r="I4534" s="637"/>
      <c r="J4534" s="637"/>
    </row>
    <row r="4535" spans="1:10" x14ac:dyDescent="0.2">
      <c r="A4535" s="626"/>
      <c r="B4535" s="637"/>
      <c r="C4535" s="637"/>
      <c r="D4535" s="637"/>
      <c r="E4535" s="637"/>
      <c r="F4535" s="637"/>
      <c r="G4535" s="637"/>
      <c r="H4535" s="637"/>
      <c r="I4535" s="637"/>
      <c r="J4535" s="637"/>
    </row>
    <row r="4536" spans="1:10" x14ac:dyDescent="0.2">
      <c r="A4536" s="626"/>
      <c r="B4536" s="637"/>
      <c r="C4536" s="637"/>
      <c r="D4536" s="637"/>
      <c r="E4536" s="637"/>
      <c r="F4536" s="637"/>
      <c r="G4536" s="637"/>
      <c r="H4536" s="637"/>
      <c r="I4536" s="637"/>
      <c r="J4536" s="637"/>
    </row>
    <row r="4537" spans="1:10" x14ac:dyDescent="0.2">
      <c r="A4537" s="626"/>
      <c r="B4537" s="637"/>
      <c r="C4537" s="637"/>
      <c r="D4537" s="637"/>
      <c r="E4537" s="637"/>
      <c r="F4537" s="637"/>
      <c r="G4537" s="637"/>
      <c r="H4537" s="637"/>
      <c r="I4537" s="637"/>
      <c r="J4537" s="637"/>
    </row>
    <row r="4538" spans="1:10" x14ac:dyDescent="0.2">
      <c r="A4538" s="626"/>
      <c r="B4538" s="637"/>
      <c r="C4538" s="637"/>
      <c r="D4538" s="637"/>
      <c r="E4538" s="637"/>
      <c r="F4538" s="637"/>
      <c r="G4538" s="637"/>
      <c r="H4538" s="637"/>
      <c r="I4538" s="637"/>
      <c r="J4538" s="637"/>
    </row>
    <row r="4539" spans="1:10" x14ac:dyDescent="0.2">
      <c r="A4539" s="626"/>
      <c r="B4539" s="637"/>
      <c r="C4539" s="637"/>
      <c r="D4539" s="637"/>
      <c r="E4539" s="637"/>
      <c r="F4539" s="637"/>
      <c r="G4539" s="637"/>
      <c r="H4539" s="637"/>
      <c r="I4539" s="637"/>
      <c r="J4539" s="637"/>
    </row>
    <row r="4540" spans="1:10" x14ac:dyDescent="0.2">
      <c r="A4540" s="626"/>
      <c r="B4540" s="637"/>
      <c r="C4540" s="637"/>
      <c r="D4540" s="637"/>
      <c r="E4540" s="637"/>
      <c r="F4540" s="637"/>
      <c r="G4540" s="637"/>
      <c r="H4540" s="637"/>
      <c r="I4540" s="637"/>
      <c r="J4540" s="637"/>
    </row>
    <row r="4541" spans="1:10" x14ac:dyDescent="0.2">
      <c r="A4541" s="626"/>
      <c r="B4541" s="637"/>
      <c r="C4541" s="637"/>
      <c r="D4541" s="637"/>
      <c r="E4541" s="637"/>
      <c r="F4541" s="637"/>
      <c r="G4541" s="637"/>
      <c r="H4541" s="637"/>
      <c r="I4541" s="637"/>
      <c r="J4541" s="637"/>
    </row>
    <row r="4542" spans="1:10" x14ac:dyDescent="0.2">
      <c r="A4542" s="626"/>
      <c r="B4542" s="637"/>
      <c r="C4542" s="637"/>
      <c r="D4542" s="637"/>
      <c r="E4542" s="637"/>
      <c r="F4542" s="637"/>
      <c r="G4542" s="637"/>
      <c r="H4542" s="637"/>
      <c r="I4542" s="637"/>
      <c r="J4542" s="637"/>
    </row>
    <row r="4543" spans="1:10" x14ac:dyDescent="0.2">
      <c r="A4543" s="626"/>
      <c r="B4543" s="637"/>
      <c r="C4543" s="637"/>
      <c r="D4543" s="637"/>
      <c r="E4543" s="637"/>
      <c r="F4543" s="637"/>
      <c r="G4543" s="637"/>
      <c r="H4543" s="637"/>
      <c r="I4543" s="637"/>
      <c r="J4543" s="637"/>
    </row>
    <row r="4544" spans="1:10" x14ac:dyDescent="0.2">
      <c r="A4544" s="626"/>
      <c r="B4544" s="637"/>
      <c r="C4544" s="637"/>
      <c r="D4544" s="637"/>
      <c r="E4544" s="637"/>
      <c r="F4544" s="637"/>
      <c r="G4544" s="637"/>
      <c r="H4544" s="637"/>
      <c r="I4544" s="637"/>
      <c r="J4544" s="637"/>
    </row>
    <row r="4545" spans="1:10" x14ac:dyDescent="0.2">
      <c r="A4545" s="626"/>
      <c r="B4545" s="637"/>
      <c r="C4545" s="637"/>
      <c r="D4545" s="637"/>
      <c r="E4545" s="637"/>
      <c r="F4545" s="637"/>
      <c r="G4545" s="637"/>
      <c r="H4545" s="637"/>
      <c r="I4545" s="637"/>
      <c r="J4545" s="637"/>
    </row>
    <row r="4546" spans="1:10" x14ac:dyDescent="0.2">
      <c r="A4546" s="626"/>
      <c r="B4546" s="637"/>
      <c r="C4546" s="637"/>
      <c r="D4546" s="637"/>
      <c r="E4546" s="637"/>
      <c r="F4546" s="637"/>
      <c r="G4546" s="637"/>
      <c r="H4546" s="637"/>
      <c r="I4546" s="637"/>
      <c r="J4546" s="637"/>
    </row>
    <row r="4547" spans="1:10" x14ac:dyDescent="0.2">
      <c r="A4547" s="626"/>
      <c r="B4547" s="637"/>
      <c r="C4547" s="637"/>
      <c r="D4547" s="637"/>
      <c r="E4547" s="637"/>
      <c r="F4547" s="637"/>
      <c r="G4547" s="637"/>
      <c r="H4547" s="637"/>
      <c r="I4547" s="637"/>
      <c r="J4547" s="637"/>
    </row>
    <row r="4548" spans="1:10" x14ac:dyDescent="0.2">
      <c r="A4548" s="626"/>
      <c r="B4548" s="637"/>
      <c r="C4548" s="637"/>
      <c r="D4548" s="637"/>
      <c r="E4548" s="637"/>
      <c r="F4548" s="637"/>
      <c r="G4548" s="637"/>
      <c r="H4548" s="637"/>
      <c r="I4548" s="637"/>
      <c r="J4548" s="637"/>
    </row>
    <row r="4549" spans="1:10" x14ac:dyDescent="0.2">
      <c r="A4549" s="626"/>
      <c r="B4549" s="637"/>
      <c r="C4549" s="637"/>
      <c r="D4549" s="637"/>
      <c r="E4549" s="637"/>
      <c r="F4549" s="637"/>
      <c r="G4549" s="637"/>
      <c r="H4549" s="637"/>
      <c r="I4549" s="637"/>
      <c r="J4549" s="637"/>
    </row>
    <row r="4550" spans="1:10" x14ac:dyDescent="0.2">
      <c r="A4550" s="626"/>
      <c r="B4550" s="637"/>
      <c r="C4550" s="637"/>
      <c r="D4550" s="637"/>
      <c r="E4550" s="637"/>
      <c r="F4550" s="637"/>
      <c r="G4550" s="637"/>
      <c r="H4550" s="637"/>
      <c r="I4550" s="637"/>
      <c r="J4550" s="637"/>
    </row>
    <row r="4551" spans="1:10" x14ac:dyDescent="0.2">
      <c r="A4551" s="626"/>
      <c r="B4551" s="637"/>
      <c r="C4551" s="637"/>
      <c r="D4551" s="637"/>
      <c r="E4551" s="637"/>
      <c r="F4551" s="637"/>
      <c r="G4551" s="637"/>
      <c r="H4551" s="637"/>
      <c r="I4551" s="637"/>
      <c r="J4551" s="637"/>
    </row>
    <row r="4552" spans="1:10" x14ac:dyDescent="0.2">
      <c r="A4552" s="626"/>
      <c r="B4552" s="637"/>
      <c r="C4552" s="637"/>
      <c r="D4552" s="637"/>
      <c r="E4552" s="637"/>
      <c r="F4552" s="637"/>
      <c r="G4552" s="637"/>
      <c r="H4552" s="637"/>
      <c r="I4552" s="637"/>
      <c r="J4552" s="637"/>
    </row>
    <row r="4553" spans="1:10" x14ac:dyDescent="0.2">
      <c r="A4553" s="626"/>
      <c r="B4553" s="637"/>
      <c r="C4553" s="637"/>
      <c r="D4553" s="637"/>
      <c r="E4553" s="637"/>
      <c r="F4553" s="637"/>
      <c r="G4553" s="637"/>
      <c r="H4553" s="637"/>
      <c r="I4553" s="637"/>
      <c r="J4553" s="637"/>
    </row>
    <row r="4554" spans="1:10" x14ac:dyDescent="0.2">
      <c r="A4554" s="626"/>
      <c r="B4554" s="637"/>
      <c r="C4554" s="637"/>
      <c r="D4554" s="637"/>
      <c r="E4554" s="637"/>
      <c r="F4554" s="637"/>
      <c r="G4554" s="637"/>
      <c r="H4554" s="637"/>
      <c r="I4554" s="637"/>
      <c r="J4554" s="637"/>
    </row>
    <row r="4555" spans="1:10" x14ac:dyDescent="0.2">
      <c r="A4555" s="626"/>
      <c r="B4555" s="637"/>
      <c r="C4555" s="637"/>
      <c r="D4555" s="637"/>
      <c r="E4555" s="637"/>
      <c r="F4555" s="637"/>
      <c r="G4555" s="637"/>
      <c r="H4555" s="637"/>
      <c r="I4555" s="637"/>
      <c r="J4555" s="637"/>
    </row>
    <row r="4556" spans="1:10" x14ac:dyDescent="0.2">
      <c r="A4556" s="626"/>
      <c r="B4556" s="637"/>
      <c r="C4556" s="637"/>
      <c r="D4556" s="637"/>
      <c r="E4556" s="637"/>
      <c r="F4556" s="637"/>
      <c r="G4556" s="637"/>
      <c r="H4556" s="637"/>
      <c r="I4556" s="637"/>
      <c r="J4556" s="637"/>
    </row>
    <row r="4557" spans="1:10" x14ac:dyDescent="0.2">
      <c r="A4557" s="626"/>
      <c r="B4557" s="637"/>
      <c r="C4557" s="637"/>
      <c r="D4557" s="637"/>
      <c r="E4557" s="637"/>
      <c r="F4557" s="637"/>
      <c r="G4557" s="637"/>
      <c r="H4557" s="637"/>
      <c r="I4557" s="637"/>
      <c r="J4557" s="637"/>
    </row>
    <row r="4558" spans="1:10" x14ac:dyDescent="0.2">
      <c r="A4558" s="626"/>
      <c r="B4558" s="637"/>
      <c r="C4558" s="637"/>
      <c r="D4558" s="637"/>
      <c r="E4558" s="637"/>
      <c r="F4558" s="637"/>
      <c r="G4558" s="637"/>
      <c r="H4558" s="637"/>
      <c r="I4558" s="637"/>
      <c r="J4558" s="637"/>
    </row>
    <row r="4559" spans="1:10" x14ac:dyDescent="0.2">
      <c r="A4559" s="626"/>
      <c r="B4559" s="637"/>
      <c r="C4559" s="637"/>
      <c r="D4559" s="637"/>
      <c r="E4559" s="637"/>
      <c r="F4559" s="637"/>
      <c r="G4559" s="637"/>
      <c r="H4559" s="637"/>
      <c r="I4559" s="637"/>
      <c r="J4559" s="637"/>
    </row>
    <row r="4560" spans="1:10" x14ac:dyDescent="0.2">
      <c r="A4560" s="626"/>
      <c r="B4560" s="637"/>
      <c r="C4560" s="637"/>
      <c r="D4560" s="637"/>
      <c r="E4560" s="637"/>
      <c r="F4560" s="637"/>
      <c r="G4560" s="637"/>
      <c r="H4560" s="637"/>
      <c r="I4560" s="637"/>
      <c r="J4560" s="637"/>
    </row>
    <row r="4561" spans="1:10" x14ac:dyDescent="0.2">
      <c r="A4561" s="626"/>
      <c r="B4561" s="637"/>
      <c r="C4561" s="637"/>
      <c r="D4561" s="637"/>
      <c r="E4561" s="637"/>
      <c r="F4561" s="637"/>
      <c r="G4561" s="637"/>
      <c r="H4561" s="637"/>
      <c r="I4561" s="637"/>
      <c r="J4561" s="637"/>
    </row>
    <row r="4562" spans="1:10" x14ac:dyDescent="0.2">
      <c r="A4562" s="626"/>
      <c r="B4562" s="637"/>
      <c r="C4562" s="637"/>
      <c r="D4562" s="637"/>
      <c r="E4562" s="637"/>
      <c r="F4562" s="637"/>
      <c r="G4562" s="637"/>
      <c r="H4562" s="637"/>
      <c r="I4562" s="637"/>
      <c r="J4562" s="637"/>
    </row>
    <row r="4563" spans="1:10" x14ac:dyDescent="0.2">
      <c r="A4563" s="626"/>
      <c r="B4563" s="637"/>
      <c r="C4563" s="637"/>
      <c r="D4563" s="637"/>
      <c r="E4563" s="637"/>
      <c r="F4563" s="637"/>
      <c r="G4563" s="637"/>
      <c r="H4563" s="637"/>
      <c r="I4563" s="637"/>
      <c r="J4563" s="637"/>
    </row>
    <row r="4564" spans="1:10" x14ac:dyDescent="0.2">
      <c r="A4564" s="626"/>
      <c r="B4564" s="637"/>
      <c r="C4564" s="637"/>
      <c r="D4564" s="637"/>
      <c r="E4564" s="637"/>
      <c r="F4564" s="637"/>
      <c r="G4564" s="637"/>
      <c r="H4564" s="637"/>
      <c r="I4564" s="637"/>
      <c r="J4564" s="637"/>
    </row>
    <row r="4565" spans="1:10" x14ac:dyDescent="0.2">
      <c r="A4565" s="626"/>
      <c r="B4565" s="637"/>
      <c r="C4565" s="637"/>
      <c r="D4565" s="637"/>
      <c r="E4565" s="637"/>
      <c r="F4565" s="637"/>
      <c r="G4565" s="637"/>
      <c r="H4565" s="637"/>
      <c r="I4565" s="637"/>
      <c r="J4565" s="637"/>
    </row>
    <row r="4566" spans="1:10" x14ac:dyDescent="0.2">
      <c r="A4566" s="626"/>
      <c r="B4566" s="637"/>
      <c r="C4566" s="637"/>
      <c r="D4566" s="637"/>
      <c r="E4566" s="637"/>
      <c r="F4566" s="637"/>
      <c r="G4566" s="637"/>
      <c r="H4566" s="637"/>
      <c r="I4566" s="637"/>
      <c r="J4566" s="637"/>
    </row>
    <row r="4567" spans="1:10" x14ac:dyDescent="0.2">
      <c r="A4567" s="626"/>
      <c r="B4567" s="637"/>
      <c r="C4567" s="637"/>
      <c r="D4567" s="637"/>
      <c r="E4567" s="637"/>
      <c r="F4567" s="637"/>
      <c r="G4567" s="637"/>
      <c r="H4567" s="637"/>
      <c r="I4567" s="637"/>
      <c r="J4567" s="637"/>
    </row>
    <row r="4568" spans="1:10" x14ac:dyDescent="0.2">
      <c r="A4568" s="626"/>
      <c r="B4568" s="637"/>
      <c r="C4568" s="637"/>
      <c r="D4568" s="637"/>
      <c r="E4568" s="637"/>
      <c r="F4568" s="637"/>
      <c r="G4568" s="637"/>
      <c r="H4568" s="637"/>
      <c r="I4568" s="637"/>
      <c r="J4568" s="637"/>
    </row>
    <row r="4569" spans="1:10" x14ac:dyDescent="0.2">
      <c r="A4569" s="626"/>
      <c r="B4569" s="637"/>
      <c r="C4569" s="637"/>
      <c r="D4569" s="637"/>
      <c r="E4569" s="637"/>
      <c r="F4569" s="637"/>
      <c r="G4569" s="637"/>
      <c r="H4569" s="637"/>
      <c r="I4569" s="637"/>
      <c r="J4569" s="637"/>
    </row>
    <row r="4570" spans="1:10" x14ac:dyDescent="0.2">
      <c r="A4570" s="626"/>
      <c r="B4570" s="637"/>
      <c r="C4570" s="637"/>
      <c r="D4570" s="637"/>
      <c r="E4570" s="637"/>
      <c r="F4570" s="637"/>
      <c r="G4570" s="637"/>
      <c r="H4570" s="637"/>
      <c r="I4570" s="637"/>
      <c r="J4570" s="637"/>
    </row>
    <row r="4571" spans="1:10" x14ac:dyDescent="0.2">
      <c r="A4571" s="626"/>
      <c r="B4571" s="637"/>
      <c r="C4571" s="637"/>
      <c r="D4571" s="637"/>
      <c r="E4571" s="637"/>
      <c r="F4571" s="637"/>
      <c r="G4571" s="637"/>
      <c r="H4571" s="637"/>
      <c r="I4571" s="637"/>
      <c r="J4571" s="637"/>
    </row>
    <row r="4572" spans="1:10" x14ac:dyDescent="0.2">
      <c r="A4572" s="626"/>
      <c r="B4572" s="637"/>
      <c r="C4572" s="637"/>
      <c r="D4572" s="637"/>
      <c r="E4572" s="637"/>
      <c r="F4572" s="637"/>
      <c r="G4572" s="637"/>
      <c r="H4572" s="637"/>
      <c r="I4572" s="637"/>
      <c r="J4572" s="637"/>
    </row>
    <row r="4573" spans="1:10" x14ac:dyDescent="0.2">
      <c r="A4573" s="626"/>
      <c r="B4573" s="637"/>
      <c r="C4573" s="637"/>
      <c r="D4573" s="637"/>
      <c r="E4573" s="637"/>
      <c r="F4573" s="637"/>
      <c r="G4573" s="637"/>
      <c r="H4573" s="637"/>
      <c r="I4573" s="637"/>
      <c r="J4573" s="637"/>
    </row>
    <row r="4574" spans="1:10" x14ac:dyDescent="0.2">
      <c r="A4574" s="626"/>
      <c r="B4574" s="637"/>
      <c r="C4574" s="637"/>
      <c r="D4574" s="637"/>
      <c r="E4574" s="637"/>
      <c r="F4574" s="637"/>
      <c r="G4574" s="637"/>
      <c r="H4574" s="637"/>
      <c r="I4574" s="637"/>
      <c r="J4574" s="637"/>
    </row>
    <row r="4575" spans="1:10" x14ac:dyDescent="0.2">
      <c r="A4575" s="626"/>
      <c r="B4575" s="637"/>
      <c r="C4575" s="637"/>
      <c r="D4575" s="637"/>
      <c r="E4575" s="637"/>
      <c r="F4575" s="637"/>
      <c r="G4575" s="637"/>
      <c r="H4575" s="637"/>
      <c r="I4575" s="637"/>
      <c r="J4575" s="637"/>
    </row>
    <row r="4576" spans="1:10" x14ac:dyDescent="0.2">
      <c r="A4576" s="626"/>
      <c r="B4576" s="637"/>
      <c r="C4576" s="637"/>
      <c r="D4576" s="637"/>
      <c r="E4576" s="637"/>
      <c r="F4576" s="637"/>
      <c r="G4576" s="637"/>
      <c r="H4576" s="637"/>
      <c r="I4576" s="637"/>
      <c r="J4576" s="637"/>
    </row>
    <row r="4577" spans="1:10" x14ac:dyDescent="0.2">
      <c r="A4577" s="626"/>
      <c r="B4577" s="637"/>
      <c r="C4577" s="637"/>
      <c r="D4577" s="637"/>
      <c r="E4577" s="637"/>
      <c r="F4577" s="637"/>
      <c r="G4577" s="637"/>
      <c r="H4577" s="637"/>
      <c r="I4577" s="637"/>
      <c r="J4577" s="637"/>
    </row>
    <row r="4578" spans="1:10" x14ac:dyDescent="0.2">
      <c r="A4578" s="626"/>
      <c r="B4578" s="637"/>
      <c r="C4578" s="637"/>
      <c r="D4578" s="637"/>
      <c r="E4578" s="637"/>
      <c r="F4578" s="637"/>
      <c r="G4578" s="637"/>
      <c r="H4578" s="637"/>
      <c r="I4578" s="637"/>
      <c r="J4578" s="637"/>
    </row>
    <row r="4579" spans="1:10" x14ac:dyDescent="0.2">
      <c r="A4579" s="626"/>
      <c r="B4579" s="637"/>
      <c r="C4579" s="637"/>
      <c r="D4579" s="637"/>
      <c r="E4579" s="637"/>
      <c r="F4579" s="637"/>
      <c r="G4579" s="637"/>
      <c r="H4579" s="637"/>
      <c r="I4579" s="637"/>
      <c r="J4579" s="637"/>
    </row>
    <row r="4580" spans="1:10" x14ac:dyDescent="0.2">
      <c r="A4580" s="626"/>
      <c r="B4580" s="637"/>
      <c r="C4580" s="637"/>
      <c r="D4580" s="637"/>
      <c r="E4580" s="637"/>
      <c r="F4580" s="637"/>
      <c r="G4580" s="637"/>
      <c r="H4580" s="637"/>
      <c r="I4580" s="637"/>
      <c r="J4580" s="637"/>
    </row>
    <row r="4581" spans="1:10" x14ac:dyDescent="0.2">
      <c r="A4581" s="626"/>
      <c r="B4581" s="637"/>
      <c r="C4581" s="637"/>
      <c r="D4581" s="637"/>
      <c r="E4581" s="637"/>
      <c r="F4581" s="637"/>
      <c r="G4581" s="637"/>
      <c r="H4581" s="637"/>
      <c r="I4581" s="637"/>
      <c r="J4581" s="637"/>
    </row>
    <row r="4582" spans="1:10" x14ac:dyDescent="0.2">
      <c r="A4582" s="626"/>
      <c r="B4582" s="637"/>
      <c r="C4582" s="637"/>
      <c r="D4582" s="637"/>
      <c r="E4582" s="637"/>
      <c r="F4582" s="637"/>
      <c r="G4582" s="637"/>
      <c r="H4582" s="637"/>
      <c r="I4582" s="637"/>
      <c r="J4582" s="637"/>
    </row>
    <row r="4583" spans="1:10" x14ac:dyDescent="0.2">
      <c r="A4583" s="626"/>
      <c r="B4583" s="637"/>
      <c r="C4583" s="637"/>
      <c r="D4583" s="637"/>
      <c r="E4583" s="637"/>
      <c r="F4583" s="637"/>
      <c r="G4583" s="637"/>
      <c r="H4583" s="637"/>
      <c r="I4583" s="637"/>
      <c r="J4583" s="637"/>
    </row>
    <row r="4584" spans="1:10" x14ac:dyDescent="0.2">
      <c r="A4584" s="626"/>
      <c r="B4584" s="637"/>
      <c r="C4584" s="637"/>
      <c r="D4584" s="637"/>
      <c r="E4584" s="637"/>
      <c r="F4584" s="637"/>
      <c r="G4584" s="637"/>
      <c r="H4584" s="637"/>
      <c r="I4584" s="637"/>
      <c r="J4584" s="637"/>
    </row>
    <row r="4585" spans="1:10" x14ac:dyDescent="0.2">
      <c r="A4585" s="626"/>
      <c r="B4585" s="637"/>
      <c r="C4585" s="637"/>
      <c r="D4585" s="637"/>
      <c r="E4585" s="637"/>
      <c r="F4585" s="637"/>
      <c r="G4585" s="637"/>
      <c r="H4585" s="637"/>
      <c r="I4585" s="637"/>
      <c r="J4585" s="637"/>
    </row>
    <row r="4586" spans="1:10" x14ac:dyDescent="0.2">
      <c r="A4586" s="626"/>
      <c r="B4586" s="637"/>
      <c r="C4586" s="637"/>
      <c r="D4586" s="637"/>
      <c r="E4586" s="637"/>
      <c r="F4586" s="637"/>
      <c r="G4586" s="637"/>
      <c r="H4586" s="637"/>
      <c r="I4586" s="637"/>
      <c r="J4586" s="637"/>
    </row>
    <row r="4587" spans="1:10" x14ac:dyDescent="0.2">
      <c r="A4587" s="626"/>
      <c r="B4587" s="637"/>
      <c r="C4587" s="637"/>
      <c r="D4587" s="637"/>
      <c r="E4587" s="637"/>
      <c r="F4587" s="637"/>
      <c r="G4587" s="637"/>
      <c r="H4587" s="637"/>
      <c r="I4587" s="637"/>
      <c r="J4587" s="637"/>
    </row>
    <row r="4588" spans="1:10" x14ac:dyDescent="0.2">
      <c r="A4588" s="626"/>
      <c r="B4588" s="637"/>
      <c r="C4588" s="637"/>
      <c r="D4588" s="637"/>
      <c r="E4588" s="637"/>
      <c r="F4588" s="637"/>
      <c r="G4588" s="637"/>
      <c r="H4588" s="637"/>
      <c r="I4588" s="637"/>
      <c r="J4588" s="637"/>
    </row>
    <row r="4589" spans="1:10" x14ac:dyDescent="0.2">
      <c r="A4589" s="626"/>
      <c r="B4589" s="637"/>
      <c r="C4589" s="637"/>
      <c r="D4589" s="637"/>
      <c r="E4589" s="637"/>
      <c r="F4589" s="637"/>
      <c r="G4589" s="637"/>
      <c r="H4589" s="637"/>
      <c r="I4589" s="637"/>
      <c r="J4589" s="637"/>
    </row>
    <row r="4590" spans="1:10" x14ac:dyDescent="0.2">
      <c r="A4590" s="626"/>
      <c r="B4590" s="637"/>
      <c r="C4590" s="637"/>
      <c r="D4590" s="637"/>
      <c r="E4590" s="637"/>
      <c r="F4590" s="637"/>
      <c r="G4590" s="637"/>
      <c r="H4590" s="637"/>
      <c r="I4590" s="637"/>
      <c r="J4590" s="637"/>
    </row>
    <row r="4591" spans="1:10" x14ac:dyDescent="0.2">
      <c r="A4591" s="626"/>
      <c r="B4591" s="637"/>
      <c r="C4591" s="637"/>
      <c r="D4591" s="637"/>
      <c r="E4591" s="637"/>
      <c r="F4591" s="637"/>
      <c r="G4591" s="637"/>
      <c r="H4591" s="637"/>
      <c r="I4591" s="637"/>
      <c r="J4591" s="637"/>
    </row>
    <row r="4592" spans="1:10" x14ac:dyDescent="0.2">
      <c r="A4592" s="626"/>
      <c r="B4592" s="637"/>
      <c r="C4592" s="637"/>
      <c r="D4592" s="637"/>
      <c r="E4592" s="637"/>
      <c r="F4592" s="637"/>
      <c r="G4592" s="637"/>
      <c r="H4592" s="637"/>
      <c r="I4592" s="637"/>
      <c r="J4592" s="637"/>
    </row>
    <row r="4593" spans="1:10" x14ac:dyDescent="0.2">
      <c r="A4593" s="626"/>
      <c r="B4593" s="637"/>
      <c r="C4593" s="637"/>
      <c r="D4593" s="637"/>
      <c r="E4593" s="637"/>
      <c r="F4593" s="637"/>
      <c r="G4593" s="637"/>
      <c r="H4593" s="637"/>
      <c r="I4593" s="637"/>
      <c r="J4593" s="637"/>
    </row>
    <row r="4594" spans="1:10" x14ac:dyDescent="0.2">
      <c r="A4594" s="626"/>
      <c r="B4594" s="637"/>
      <c r="C4594" s="637"/>
      <c r="D4594" s="637"/>
      <c r="E4594" s="637"/>
      <c r="F4594" s="637"/>
      <c r="G4594" s="637"/>
      <c r="H4594" s="637"/>
      <c r="I4594" s="637"/>
      <c r="J4594" s="637"/>
    </row>
    <row r="4595" spans="1:10" x14ac:dyDescent="0.2">
      <c r="A4595" s="626"/>
      <c r="B4595" s="637"/>
      <c r="C4595" s="637"/>
      <c r="D4595" s="637"/>
      <c r="E4595" s="637"/>
      <c r="F4595" s="637"/>
      <c r="G4595" s="637"/>
      <c r="H4595" s="637"/>
      <c r="I4595" s="637"/>
      <c r="J4595" s="637"/>
    </row>
    <row r="4596" spans="1:10" x14ac:dyDescent="0.2">
      <c r="A4596" s="626"/>
      <c r="B4596" s="637"/>
      <c r="C4596" s="637"/>
      <c r="D4596" s="637"/>
      <c r="E4596" s="637"/>
      <c r="F4596" s="637"/>
      <c r="G4596" s="637"/>
      <c r="H4596" s="637"/>
      <c r="I4596" s="637"/>
      <c r="J4596" s="637"/>
    </row>
    <row r="4597" spans="1:10" x14ac:dyDescent="0.2">
      <c r="A4597" s="626"/>
      <c r="B4597" s="637"/>
      <c r="C4597" s="637"/>
      <c r="D4597" s="637"/>
      <c r="E4597" s="637"/>
      <c r="F4597" s="637"/>
      <c r="G4597" s="637"/>
      <c r="H4597" s="637"/>
      <c r="I4597" s="637"/>
      <c r="J4597" s="637"/>
    </row>
    <row r="4598" spans="1:10" x14ac:dyDescent="0.2">
      <c r="A4598" s="626"/>
      <c r="B4598" s="637"/>
      <c r="C4598" s="637"/>
      <c r="D4598" s="637"/>
      <c r="E4598" s="637"/>
      <c r="F4598" s="637"/>
      <c r="G4598" s="637"/>
      <c r="H4598" s="637"/>
      <c r="I4598" s="637"/>
      <c r="J4598" s="637"/>
    </row>
    <row r="4599" spans="1:10" x14ac:dyDescent="0.2">
      <c r="A4599" s="626"/>
      <c r="B4599" s="637"/>
      <c r="C4599" s="637"/>
      <c r="D4599" s="637"/>
      <c r="E4599" s="637"/>
      <c r="F4599" s="637"/>
      <c r="G4599" s="637"/>
      <c r="H4599" s="637"/>
      <c r="I4599" s="637"/>
      <c r="J4599" s="637"/>
    </row>
    <row r="4600" spans="1:10" x14ac:dyDescent="0.2">
      <c r="A4600" s="626"/>
      <c r="B4600" s="637"/>
      <c r="C4600" s="637"/>
      <c r="D4600" s="637"/>
      <c r="E4600" s="637"/>
      <c r="F4600" s="637"/>
      <c r="G4600" s="637"/>
      <c r="H4600" s="637"/>
      <c r="I4600" s="637"/>
      <c r="J4600" s="637"/>
    </row>
    <row r="4601" spans="1:10" x14ac:dyDescent="0.2">
      <c r="A4601" s="626"/>
      <c r="B4601" s="637"/>
      <c r="C4601" s="637"/>
      <c r="D4601" s="637"/>
      <c r="E4601" s="637"/>
      <c r="F4601" s="637"/>
      <c r="G4601" s="637"/>
      <c r="H4601" s="637"/>
      <c r="I4601" s="637"/>
      <c r="J4601" s="637"/>
    </row>
    <row r="4602" spans="1:10" x14ac:dyDescent="0.2">
      <c r="A4602" s="626"/>
      <c r="B4602" s="637"/>
      <c r="C4602" s="637"/>
      <c r="D4602" s="637"/>
      <c r="E4602" s="637"/>
      <c r="F4602" s="637"/>
      <c r="G4602" s="637"/>
      <c r="H4602" s="637"/>
      <c r="I4602" s="637"/>
      <c r="J4602" s="637"/>
    </row>
    <row r="4603" spans="1:10" x14ac:dyDescent="0.2">
      <c r="A4603" s="626"/>
      <c r="B4603" s="637"/>
      <c r="C4603" s="637"/>
      <c r="D4603" s="637"/>
      <c r="E4603" s="637"/>
      <c r="F4603" s="637"/>
      <c r="G4603" s="637"/>
      <c r="H4603" s="637"/>
      <c r="I4603" s="637"/>
      <c r="J4603" s="637"/>
    </row>
    <row r="4604" spans="1:10" x14ac:dyDescent="0.2">
      <c r="A4604" s="626"/>
      <c r="B4604" s="637"/>
      <c r="C4604" s="637"/>
      <c r="D4604" s="637"/>
      <c r="E4604" s="637"/>
      <c r="F4604" s="637"/>
      <c r="G4604" s="637"/>
      <c r="H4604" s="637"/>
      <c r="I4604" s="637"/>
      <c r="J4604" s="637"/>
    </row>
    <row r="4605" spans="1:10" x14ac:dyDescent="0.2">
      <c r="A4605" s="626"/>
      <c r="B4605" s="637"/>
      <c r="C4605" s="637"/>
      <c r="D4605" s="637"/>
      <c r="E4605" s="637"/>
      <c r="F4605" s="637"/>
      <c r="G4605" s="637"/>
      <c r="H4605" s="637"/>
      <c r="I4605" s="637"/>
      <c r="J4605" s="637"/>
    </row>
    <row r="4606" spans="1:10" x14ac:dyDescent="0.2">
      <c r="A4606" s="626"/>
      <c r="B4606" s="637"/>
      <c r="C4606" s="637"/>
      <c r="D4606" s="637"/>
      <c r="E4606" s="637"/>
      <c r="F4606" s="637"/>
      <c r="G4606" s="637"/>
      <c r="H4606" s="637"/>
      <c r="I4606" s="637"/>
      <c r="J4606" s="637"/>
    </row>
    <row r="4607" spans="1:10" x14ac:dyDescent="0.2">
      <c r="A4607" s="626"/>
      <c r="B4607" s="637"/>
      <c r="C4607" s="637"/>
      <c r="D4607" s="637"/>
      <c r="E4607" s="637"/>
      <c r="F4607" s="637"/>
      <c r="G4607" s="637"/>
      <c r="H4607" s="637"/>
      <c r="I4607" s="637"/>
      <c r="J4607" s="637"/>
    </row>
    <row r="4608" spans="1:10" x14ac:dyDescent="0.2">
      <c r="A4608" s="626"/>
      <c r="B4608" s="637"/>
      <c r="C4608" s="637"/>
      <c r="D4608" s="637"/>
      <c r="E4608" s="637"/>
      <c r="F4608" s="637"/>
      <c r="G4608" s="637"/>
      <c r="H4608" s="637"/>
      <c r="I4608" s="637"/>
      <c r="J4608" s="637"/>
    </row>
    <row r="4609" spans="1:10" x14ac:dyDescent="0.2">
      <c r="A4609" s="626"/>
      <c r="B4609" s="637"/>
      <c r="C4609" s="637"/>
      <c r="D4609" s="637"/>
      <c r="E4609" s="637"/>
      <c r="F4609" s="637"/>
      <c r="G4609" s="637"/>
      <c r="H4609" s="637"/>
      <c r="I4609" s="637"/>
      <c r="J4609" s="637"/>
    </row>
    <row r="4610" spans="1:10" x14ac:dyDescent="0.2">
      <c r="A4610" s="626"/>
      <c r="B4610" s="637"/>
      <c r="C4610" s="637"/>
      <c r="D4610" s="637"/>
      <c r="E4610" s="637"/>
      <c r="F4610" s="637"/>
      <c r="G4610" s="637"/>
      <c r="H4610" s="637"/>
      <c r="I4610" s="637"/>
      <c r="J4610" s="637"/>
    </row>
    <row r="4611" spans="1:10" x14ac:dyDescent="0.2">
      <c r="A4611" s="626"/>
      <c r="B4611" s="637"/>
      <c r="C4611" s="637"/>
      <c r="D4611" s="637"/>
      <c r="E4611" s="637"/>
      <c r="F4611" s="637"/>
      <c r="G4611" s="637"/>
      <c r="H4611" s="637"/>
      <c r="I4611" s="637"/>
      <c r="J4611" s="637"/>
    </row>
    <row r="4612" spans="1:10" x14ac:dyDescent="0.2">
      <c r="A4612" s="626"/>
      <c r="B4612" s="637"/>
      <c r="C4612" s="637"/>
      <c r="D4612" s="637"/>
      <c r="E4612" s="637"/>
      <c r="F4612" s="637"/>
      <c r="G4612" s="637"/>
      <c r="H4612" s="637"/>
      <c r="I4612" s="637"/>
      <c r="J4612" s="637"/>
    </row>
    <row r="4613" spans="1:10" x14ac:dyDescent="0.2">
      <c r="A4613" s="626"/>
      <c r="B4613" s="637"/>
      <c r="C4613" s="637"/>
      <c r="D4613" s="637"/>
      <c r="E4613" s="637"/>
      <c r="F4613" s="637"/>
      <c r="G4613" s="637"/>
      <c r="H4613" s="637"/>
      <c r="I4613" s="637"/>
      <c r="J4613" s="637"/>
    </row>
    <row r="4614" spans="1:10" x14ac:dyDescent="0.2">
      <c r="A4614" s="626"/>
      <c r="B4614" s="637"/>
      <c r="C4614" s="637"/>
      <c r="D4614" s="637"/>
      <c r="E4614" s="637"/>
      <c r="F4614" s="637"/>
      <c r="G4614" s="637"/>
      <c r="H4614" s="637"/>
      <c r="I4614" s="637"/>
      <c r="J4614" s="637"/>
    </row>
    <row r="4615" spans="1:10" x14ac:dyDescent="0.2">
      <c r="A4615" s="626"/>
      <c r="B4615" s="637"/>
      <c r="C4615" s="637"/>
      <c r="D4615" s="637"/>
      <c r="E4615" s="637"/>
      <c r="F4615" s="637"/>
      <c r="G4615" s="637"/>
      <c r="H4615" s="637"/>
      <c r="I4615" s="637"/>
      <c r="J4615" s="637"/>
    </row>
    <row r="4616" spans="1:10" x14ac:dyDescent="0.2">
      <c r="A4616" s="626"/>
      <c r="B4616" s="637"/>
      <c r="C4616" s="637"/>
      <c r="D4616" s="637"/>
      <c r="E4616" s="637"/>
      <c r="F4616" s="637"/>
      <c r="G4616" s="637"/>
      <c r="H4616" s="637"/>
      <c r="I4616" s="637"/>
      <c r="J4616" s="637"/>
    </row>
    <row r="4617" spans="1:10" x14ac:dyDescent="0.2">
      <c r="A4617" s="626"/>
      <c r="B4617" s="637"/>
      <c r="C4617" s="637"/>
      <c r="D4617" s="637"/>
      <c r="E4617" s="637"/>
      <c r="F4617" s="637"/>
      <c r="G4617" s="637"/>
      <c r="H4617" s="637"/>
      <c r="I4617" s="637"/>
      <c r="J4617" s="637"/>
    </row>
    <row r="4618" spans="1:10" x14ac:dyDescent="0.2">
      <c r="A4618" s="626"/>
      <c r="B4618" s="637"/>
      <c r="C4618" s="637"/>
      <c r="D4618" s="637"/>
      <c r="E4618" s="637"/>
      <c r="F4618" s="637"/>
      <c r="G4618" s="637"/>
      <c r="H4618" s="637"/>
      <c r="I4618" s="637"/>
      <c r="J4618" s="637"/>
    </row>
    <row r="4619" spans="1:10" x14ac:dyDescent="0.2">
      <c r="A4619" s="626"/>
      <c r="B4619" s="637"/>
      <c r="C4619" s="637"/>
      <c r="D4619" s="637"/>
      <c r="E4619" s="637"/>
      <c r="F4619" s="637"/>
      <c r="G4619" s="637"/>
      <c r="H4619" s="637"/>
      <c r="I4619" s="637"/>
      <c r="J4619" s="637"/>
    </row>
    <row r="4620" spans="1:10" x14ac:dyDescent="0.2">
      <c r="A4620" s="626"/>
      <c r="B4620" s="637"/>
      <c r="C4620" s="637"/>
      <c r="D4620" s="637"/>
      <c r="E4620" s="637"/>
      <c r="F4620" s="637"/>
      <c r="G4620" s="637"/>
      <c r="H4620" s="637"/>
      <c r="I4620" s="637"/>
      <c r="J4620" s="637"/>
    </row>
    <row r="4621" spans="1:10" x14ac:dyDescent="0.2">
      <c r="A4621" s="626"/>
      <c r="B4621" s="637"/>
      <c r="C4621" s="637"/>
      <c r="D4621" s="637"/>
      <c r="E4621" s="637"/>
      <c r="F4621" s="637"/>
      <c r="G4621" s="637"/>
      <c r="H4621" s="637"/>
      <c r="I4621" s="637"/>
      <c r="J4621" s="637"/>
    </row>
    <row r="4622" spans="1:10" x14ac:dyDescent="0.2">
      <c r="A4622" s="626"/>
      <c r="B4622" s="637"/>
      <c r="C4622" s="637"/>
      <c r="D4622" s="637"/>
      <c r="E4622" s="637"/>
      <c r="F4622" s="637"/>
      <c r="G4622" s="637"/>
      <c r="H4622" s="637"/>
      <c r="I4622" s="637"/>
      <c r="J4622" s="637"/>
    </row>
    <row r="4623" spans="1:10" x14ac:dyDescent="0.2">
      <c r="A4623" s="626"/>
      <c r="B4623" s="637"/>
      <c r="C4623" s="637"/>
      <c r="D4623" s="637"/>
      <c r="E4623" s="637"/>
      <c r="F4623" s="637"/>
      <c r="G4623" s="637"/>
      <c r="H4623" s="637"/>
      <c r="I4623" s="637"/>
      <c r="J4623" s="637"/>
    </row>
    <row r="4624" spans="1:10" x14ac:dyDescent="0.2">
      <c r="A4624" s="626"/>
      <c r="B4624" s="637"/>
      <c r="C4624" s="637"/>
      <c r="D4624" s="637"/>
      <c r="E4624" s="637"/>
      <c r="F4624" s="637"/>
      <c r="G4624" s="637"/>
      <c r="H4624" s="637"/>
      <c r="I4624" s="637"/>
      <c r="J4624" s="637"/>
    </row>
    <row r="4625" spans="1:10" x14ac:dyDescent="0.2">
      <c r="A4625" s="626"/>
      <c r="B4625" s="637"/>
      <c r="C4625" s="637"/>
      <c r="D4625" s="637"/>
      <c r="E4625" s="637"/>
      <c r="F4625" s="637"/>
      <c r="G4625" s="637"/>
      <c r="H4625" s="637"/>
      <c r="I4625" s="637"/>
      <c r="J4625" s="637"/>
    </row>
    <row r="4626" spans="1:10" x14ac:dyDescent="0.2">
      <c r="A4626" s="626"/>
      <c r="B4626" s="637"/>
      <c r="C4626" s="637"/>
      <c r="D4626" s="637"/>
      <c r="E4626" s="637"/>
      <c r="F4626" s="637"/>
      <c r="G4626" s="637"/>
      <c r="H4626" s="637"/>
      <c r="I4626" s="637"/>
      <c r="J4626" s="637"/>
    </row>
    <row r="4627" spans="1:10" x14ac:dyDescent="0.2">
      <c r="A4627" s="626"/>
      <c r="B4627" s="637"/>
      <c r="C4627" s="637"/>
      <c r="D4627" s="637"/>
      <c r="E4627" s="637"/>
      <c r="F4627" s="637"/>
      <c r="G4627" s="637"/>
      <c r="H4627" s="637"/>
      <c r="I4627" s="637"/>
      <c r="J4627" s="637"/>
    </row>
    <row r="4628" spans="1:10" x14ac:dyDescent="0.2">
      <c r="A4628" s="626"/>
      <c r="B4628" s="637"/>
      <c r="C4628" s="637"/>
      <c r="D4628" s="637"/>
      <c r="E4628" s="637"/>
      <c r="F4628" s="637"/>
      <c r="G4628" s="637"/>
      <c r="H4628" s="637"/>
      <c r="I4628" s="637"/>
      <c r="J4628" s="637"/>
    </row>
    <row r="4629" spans="1:10" x14ac:dyDescent="0.2">
      <c r="A4629" s="626"/>
      <c r="B4629" s="637"/>
      <c r="C4629" s="637"/>
      <c r="D4629" s="637"/>
      <c r="E4629" s="637"/>
      <c r="F4629" s="637"/>
      <c r="G4629" s="637"/>
      <c r="H4629" s="637"/>
      <c r="I4629" s="637"/>
      <c r="J4629" s="637"/>
    </row>
    <row r="4630" spans="1:10" x14ac:dyDescent="0.2">
      <c r="A4630" s="626"/>
      <c r="B4630" s="637"/>
      <c r="C4630" s="637"/>
      <c r="D4630" s="637"/>
      <c r="E4630" s="637"/>
      <c r="F4630" s="637"/>
      <c r="G4630" s="637"/>
      <c r="H4630" s="637"/>
      <c r="I4630" s="637"/>
      <c r="J4630" s="637"/>
    </row>
    <row r="4631" spans="1:10" x14ac:dyDescent="0.2">
      <c r="A4631" s="626"/>
      <c r="B4631" s="637"/>
      <c r="C4631" s="637"/>
      <c r="D4631" s="637"/>
      <c r="E4631" s="637"/>
      <c r="F4631" s="637"/>
      <c r="G4631" s="637"/>
      <c r="H4631" s="637"/>
      <c r="I4631" s="637"/>
      <c r="J4631" s="637"/>
    </row>
    <row r="4632" spans="1:10" x14ac:dyDescent="0.2">
      <c r="A4632" s="626"/>
      <c r="B4632" s="637"/>
      <c r="C4632" s="637"/>
      <c r="D4632" s="637"/>
      <c r="E4632" s="637"/>
      <c r="F4632" s="637"/>
      <c r="G4632" s="637"/>
      <c r="H4632" s="637"/>
      <c r="I4632" s="637"/>
      <c r="J4632" s="637"/>
    </row>
    <row r="4633" spans="1:10" x14ac:dyDescent="0.2">
      <c r="A4633" s="626"/>
      <c r="B4633" s="637"/>
      <c r="C4633" s="637"/>
      <c r="D4633" s="637"/>
      <c r="E4633" s="637"/>
      <c r="F4633" s="637"/>
      <c r="G4633" s="637"/>
      <c r="H4633" s="637"/>
      <c r="I4633" s="637"/>
      <c r="J4633" s="637"/>
    </row>
    <row r="4634" spans="1:10" x14ac:dyDescent="0.2">
      <c r="A4634" s="626"/>
      <c r="B4634" s="637"/>
      <c r="C4634" s="637"/>
      <c r="D4634" s="637"/>
      <c r="E4634" s="637"/>
      <c r="F4634" s="637"/>
      <c r="G4634" s="637"/>
      <c r="H4634" s="637"/>
      <c r="I4634" s="637"/>
      <c r="J4634" s="637"/>
    </row>
    <row r="4635" spans="1:10" x14ac:dyDescent="0.2">
      <c r="A4635" s="626"/>
      <c r="B4635" s="637"/>
      <c r="C4635" s="637"/>
      <c r="D4635" s="637"/>
      <c r="E4635" s="637"/>
      <c r="F4635" s="637"/>
      <c r="G4635" s="637"/>
      <c r="H4635" s="637"/>
      <c r="I4635" s="637"/>
      <c r="J4635" s="637"/>
    </row>
    <row r="4636" spans="1:10" x14ac:dyDescent="0.2">
      <c r="A4636" s="626"/>
      <c r="B4636" s="637"/>
      <c r="C4636" s="637"/>
      <c r="D4636" s="637"/>
      <c r="E4636" s="637"/>
      <c r="F4636" s="637"/>
      <c r="G4636" s="637"/>
      <c r="H4636" s="637"/>
      <c r="I4636" s="637"/>
      <c r="J4636" s="637"/>
    </row>
    <row r="4637" spans="1:10" x14ac:dyDescent="0.2">
      <c r="A4637" s="626"/>
      <c r="B4637" s="637"/>
      <c r="C4637" s="637"/>
      <c r="D4637" s="637"/>
      <c r="E4637" s="637"/>
      <c r="F4637" s="637"/>
      <c r="G4637" s="637"/>
      <c r="H4637" s="637"/>
      <c r="I4637" s="637"/>
      <c r="J4637" s="637"/>
    </row>
    <row r="4638" spans="1:10" x14ac:dyDescent="0.2">
      <c r="A4638" s="626"/>
      <c r="B4638" s="637"/>
      <c r="C4638" s="637"/>
      <c r="D4638" s="637"/>
      <c r="E4638" s="637"/>
      <c r="F4638" s="637"/>
      <c r="G4638" s="637"/>
      <c r="H4638" s="637"/>
      <c r="I4638" s="637"/>
      <c r="J4638" s="637"/>
    </row>
    <row r="4639" spans="1:10" x14ac:dyDescent="0.2">
      <c r="A4639" s="626"/>
      <c r="B4639" s="637"/>
      <c r="C4639" s="637"/>
      <c r="D4639" s="637"/>
      <c r="E4639" s="637"/>
      <c r="F4639" s="637"/>
      <c r="G4639" s="637"/>
      <c r="H4639" s="637"/>
      <c r="I4639" s="637"/>
      <c r="J4639" s="637"/>
    </row>
    <row r="4640" spans="1:10" x14ac:dyDescent="0.2">
      <c r="A4640" s="626"/>
      <c r="B4640" s="637"/>
      <c r="C4640" s="637"/>
      <c r="D4640" s="637"/>
      <c r="E4640" s="637"/>
      <c r="F4640" s="637"/>
      <c r="G4640" s="637"/>
      <c r="H4640" s="637"/>
      <c r="I4640" s="637"/>
      <c r="J4640" s="637"/>
    </row>
    <row r="4641" spans="1:10" x14ac:dyDescent="0.2">
      <c r="A4641" s="626"/>
      <c r="B4641" s="637"/>
      <c r="C4641" s="637"/>
      <c r="D4641" s="637"/>
      <c r="E4641" s="637"/>
      <c r="F4641" s="637"/>
      <c r="G4641" s="637"/>
      <c r="H4641" s="637"/>
      <c r="I4641" s="637"/>
      <c r="J4641" s="637"/>
    </row>
    <row r="4642" spans="1:10" x14ac:dyDescent="0.2">
      <c r="A4642" s="626"/>
      <c r="B4642" s="637"/>
      <c r="C4642" s="637"/>
      <c r="D4642" s="637"/>
      <c r="E4642" s="637"/>
      <c r="F4642" s="637"/>
      <c r="G4642" s="637"/>
      <c r="H4642" s="637"/>
      <c r="I4642" s="637"/>
      <c r="J4642" s="637"/>
    </row>
    <row r="4643" spans="1:10" x14ac:dyDescent="0.2">
      <c r="A4643" s="626"/>
      <c r="B4643" s="637"/>
      <c r="C4643" s="637"/>
      <c r="D4643" s="637"/>
      <c r="E4643" s="637"/>
      <c r="F4643" s="637"/>
      <c r="G4643" s="637"/>
      <c r="H4643" s="637"/>
      <c r="I4643" s="637"/>
      <c r="J4643" s="637"/>
    </row>
    <row r="4644" spans="1:10" x14ac:dyDescent="0.2">
      <c r="A4644" s="626"/>
      <c r="B4644" s="637"/>
      <c r="C4644" s="637"/>
      <c r="D4644" s="637"/>
      <c r="E4644" s="637"/>
      <c r="F4644" s="637"/>
      <c r="G4644" s="637"/>
      <c r="H4644" s="637"/>
      <c r="I4644" s="637"/>
      <c r="J4644" s="637"/>
    </row>
    <row r="4645" spans="1:10" x14ac:dyDescent="0.2">
      <c r="A4645" s="626"/>
      <c r="B4645" s="637"/>
      <c r="C4645" s="637"/>
      <c r="D4645" s="637"/>
      <c r="E4645" s="637"/>
      <c r="F4645" s="637"/>
      <c r="G4645" s="637"/>
      <c r="H4645" s="637"/>
      <c r="I4645" s="637"/>
      <c r="J4645" s="637"/>
    </row>
    <row r="4646" spans="1:10" x14ac:dyDescent="0.2">
      <c r="A4646" s="626"/>
      <c r="B4646" s="637"/>
      <c r="C4646" s="637"/>
      <c r="D4646" s="637"/>
      <c r="E4646" s="637"/>
      <c r="F4646" s="637"/>
      <c r="G4646" s="637"/>
      <c r="H4646" s="637"/>
      <c r="I4646" s="637"/>
      <c r="J4646" s="637"/>
    </row>
    <row r="4647" spans="1:10" x14ac:dyDescent="0.2">
      <c r="A4647" s="626"/>
      <c r="B4647" s="637"/>
      <c r="C4647" s="637"/>
      <c r="D4647" s="637"/>
      <c r="E4647" s="637"/>
      <c r="F4647" s="637"/>
      <c r="G4647" s="637"/>
      <c r="H4647" s="637"/>
      <c r="I4647" s="637"/>
      <c r="J4647" s="637"/>
    </row>
    <row r="4648" spans="1:10" x14ac:dyDescent="0.2">
      <c r="A4648" s="626"/>
      <c r="B4648" s="637"/>
      <c r="C4648" s="637"/>
      <c r="D4648" s="637"/>
      <c r="E4648" s="637"/>
      <c r="F4648" s="637"/>
      <c r="G4648" s="637"/>
      <c r="H4648" s="637"/>
      <c r="I4648" s="637"/>
      <c r="J4648" s="637"/>
    </row>
    <row r="4649" spans="1:10" x14ac:dyDescent="0.2">
      <c r="A4649" s="626"/>
      <c r="B4649" s="637"/>
      <c r="C4649" s="637"/>
      <c r="D4649" s="637"/>
      <c r="E4649" s="637"/>
      <c r="F4649" s="637"/>
      <c r="G4649" s="637"/>
      <c r="H4649" s="637"/>
      <c r="I4649" s="637"/>
      <c r="J4649" s="637"/>
    </row>
    <row r="4650" spans="1:10" x14ac:dyDescent="0.2">
      <c r="A4650" s="626"/>
      <c r="B4650" s="637"/>
      <c r="C4650" s="637"/>
      <c r="D4650" s="637"/>
      <c r="E4650" s="637"/>
      <c r="F4650" s="637"/>
      <c r="G4650" s="637"/>
      <c r="H4650" s="637"/>
      <c r="I4650" s="637"/>
      <c r="J4650" s="637"/>
    </row>
    <row r="4651" spans="1:10" x14ac:dyDescent="0.2">
      <c r="A4651" s="626"/>
      <c r="B4651" s="637"/>
      <c r="C4651" s="637"/>
      <c r="D4651" s="637"/>
      <c r="E4651" s="637"/>
      <c r="F4651" s="637"/>
      <c r="G4651" s="637"/>
      <c r="H4651" s="637"/>
      <c r="I4651" s="637"/>
      <c r="J4651" s="637"/>
    </row>
    <row r="4652" spans="1:10" x14ac:dyDescent="0.2">
      <c r="A4652" s="626"/>
      <c r="B4652" s="637"/>
      <c r="C4652" s="637"/>
      <c r="D4652" s="637"/>
      <c r="E4652" s="637"/>
      <c r="F4652" s="637"/>
      <c r="G4652" s="637"/>
      <c r="H4652" s="637"/>
      <c r="I4652" s="637"/>
      <c r="J4652" s="637"/>
    </row>
    <row r="4653" spans="1:10" x14ac:dyDescent="0.2">
      <c r="A4653" s="626"/>
      <c r="B4653" s="637"/>
      <c r="C4653" s="637"/>
      <c r="D4653" s="637"/>
      <c r="E4653" s="637"/>
      <c r="F4653" s="637"/>
      <c r="G4653" s="637"/>
      <c r="H4653" s="637"/>
      <c r="I4653" s="637"/>
      <c r="J4653" s="637"/>
    </row>
    <row r="4654" spans="1:10" x14ac:dyDescent="0.2">
      <c r="A4654" s="626"/>
      <c r="B4654" s="637"/>
      <c r="C4654" s="637"/>
      <c r="D4654" s="637"/>
      <c r="E4654" s="637"/>
      <c r="F4654" s="637"/>
      <c r="G4654" s="637"/>
      <c r="H4654" s="637"/>
      <c r="I4654" s="637"/>
      <c r="J4654" s="637"/>
    </row>
    <row r="4655" spans="1:10" x14ac:dyDescent="0.2">
      <c r="A4655" s="626"/>
      <c r="B4655" s="637"/>
      <c r="C4655" s="637"/>
      <c r="D4655" s="637"/>
      <c r="E4655" s="637"/>
      <c r="F4655" s="637"/>
      <c r="G4655" s="637"/>
      <c r="H4655" s="637"/>
      <c r="I4655" s="637"/>
      <c r="J4655" s="637"/>
    </row>
    <row r="4656" spans="1:10" x14ac:dyDescent="0.2">
      <c r="A4656" s="626"/>
      <c r="B4656" s="637"/>
      <c r="C4656" s="637"/>
      <c r="D4656" s="637"/>
      <c r="E4656" s="637"/>
      <c r="F4656" s="637"/>
      <c r="G4656" s="637"/>
      <c r="H4656" s="637"/>
      <c r="I4656" s="637"/>
      <c r="J4656" s="637"/>
    </row>
    <row r="4657" spans="1:10" x14ac:dyDescent="0.2">
      <c r="A4657" s="626"/>
      <c r="B4657" s="637"/>
      <c r="C4657" s="637"/>
      <c r="D4657" s="637"/>
      <c r="E4657" s="637"/>
      <c r="F4657" s="637"/>
      <c r="G4657" s="637"/>
      <c r="H4657" s="637"/>
      <c r="I4657" s="637"/>
      <c r="J4657" s="637"/>
    </row>
    <row r="4658" spans="1:10" x14ac:dyDescent="0.2">
      <c r="A4658" s="626"/>
      <c r="B4658" s="637"/>
      <c r="C4658" s="637"/>
      <c r="D4658" s="637"/>
      <c r="E4658" s="637"/>
      <c r="F4658" s="637"/>
      <c r="G4658" s="637"/>
      <c r="H4658" s="637"/>
      <c r="I4658" s="637"/>
      <c r="J4658" s="637"/>
    </row>
    <row r="4659" spans="1:10" x14ac:dyDescent="0.2">
      <c r="A4659" s="626"/>
      <c r="B4659" s="637"/>
      <c r="C4659" s="637"/>
      <c r="D4659" s="637"/>
      <c r="E4659" s="637"/>
      <c r="F4659" s="637"/>
      <c r="G4659" s="637"/>
      <c r="H4659" s="637"/>
      <c r="I4659" s="637"/>
      <c r="J4659" s="637"/>
    </row>
    <row r="4660" spans="1:10" x14ac:dyDescent="0.2">
      <c r="A4660" s="626"/>
      <c r="B4660" s="637"/>
      <c r="C4660" s="637"/>
      <c r="D4660" s="637"/>
      <c r="E4660" s="637"/>
      <c r="F4660" s="637"/>
      <c r="G4660" s="637"/>
      <c r="H4660" s="637"/>
      <c r="I4660" s="637"/>
      <c r="J4660" s="637"/>
    </row>
    <row r="4661" spans="1:10" x14ac:dyDescent="0.2">
      <c r="A4661" s="626"/>
      <c r="B4661" s="637"/>
      <c r="C4661" s="637"/>
      <c r="D4661" s="637"/>
      <c r="E4661" s="637"/>
      <c r="F4661" s="637"/>
      <c r="G4661" s="637"/>
      <c r="H4661" s="637"/>
      <c r="I4661" s="637"/>
      <c r="J4661" s="637"/>
    </row>
    <row r="4662" spans="1:10" x14ac:dyDescent="0.2">
      <c r="A4662" s="626"/>
      <c r="B4662" s="637"/>
      <c r="C4662" s="637"/>
      <c r="D4662" s="637"/>
      <c r="E4662" s="637"/>
      <c r="F4662" s="637"/>
      <c r="G4662" s="637"/>
      <c r="H4662" s="637"/>
      <c r="I4662" s="637"/>
      <c r="J4662" s="637"/>
    </row>
    <row r="4663" spans="1:10" x14ac:dyDescent="0.2">
      <c r="A4663" s="626"/>
      <c r="B4663" s="637"/>
      <c r="C4663" s="637"/>
      <c r="D4663" s="637"/>
      <c r="E4663" s="637"/>
      <c r="F4663" s="637"/>
      <c r="G4663" s="637"/>
      <c r="H4663" s="637"/>
      <c r="I4663" s="637"/>
      <c r="J4663" s="637"/>
    </row>
    <row r="4664" spans="1:10" x14ac:dyDescent="0.2">
      <c r="A4664" s="626"/>
      <c r="B4664" s="637"/>
      <c r="C4664" s="637"/>
      <c r="D4664" s="637"/>
      <c r="E4664" s="637"/>
      <c r="F4664" s="637"/>
      <c r="G4664" s="637"/>
      <c r="H4664" s="637"/>
      <c r="I4664" s="637"/>
      <c r="J4664" s="637"/>
    </row>
    <row r="4665" spans="1:10" x14ac:dyDescent="0.2">
      <c r="A4665" s="626"/>
      <c r="B4665" s="637"/>
      <c r="C4665" s="637"/>
      <c r="D4665" s="637"/>
      <c r="E4665" s="637"/>
      <c r="F4665" s="637"/>
      <c r="G4665" s="637"/>
      <c r="H4665" s="637"/>
      <c r="I4665" s="637"/>
      <c r="J4665" s="637"/>
    </row>
    <row r="4666" spans="1:10" x14ac:dyDescent="0.2">
      <c r="A4666" s="626"/>
      <c r="B4666" s="637"/>
      <c r="C4666" s="637"/>
      <c r="D4666" s="637"/>
      <c r="E4666" s="637"/>
      <c r="F4666" s="637"/>
      <c r="G4666" s="637"/>
      <c r="H4666" s="637"/>
      <c r="I4666" s="637"/>
      <c r="J4666" s="637"/>
    </row>
    <row r="4667" spans="1:10" x14ac:dyDescent="0.2">
      <c r="A4667" s="626"/>
      <c r="B4667" s="637"/>
      <c r="C4667" s="637"/>
      <c r="D4667" s="637"/>
      <c r="E4667" s="637"/>
      <c r="F4667" s="637"/>
      <c r="G4667" s="637"/>
      <c r="H4667" s="637"/>
      <c r="I4667" s="637"/>
      <c r="J4667" s="637"/>
    </row>
    <row r="4668" spans="1:10" x14ac:dyDescent="0.2">
      <c r="A4668" s="626"/>
      <c r="B4668" s="637"/>
      <c r="C4668" s="637"/>
      <c r="D4668" s="637"/>
      <c r="E4668" s="637"/>
      <c r="F4668" s="637"/>
      <c r="G4668" s="637"/>
      <c r="H4668" s="637"/>
      <c r="I4668" s="637"/>
      <c r="J4668" s="637"/>
    </row>
    <row r="4669" spans="1:10" x14ac:dyDescent="0.2">
      <c r="A4669" s="626"/>
      <c r="B4669" s="637"/>
      <c r="C4669" s="637"/>
      <c r="D4669" s="637"/>
      <c r="E4669" s="637"/>
      <c r="F4669" s="637"/>
      <c r="G4669" s="637"/>
      <c r="H4669" s="637"/>
      <c r="I4669" s="637"/>
      <c r="J4669" s="637"/>
    </row>
    <row r="4670" spans="1:10" x14ac:dyDescent="0.2">
      <c r="A4670" s="626"/>
      <c r="B4670" s="637"/>
      <c r="C4670" s="637"/>
      <c r="D4670" s="637"/>
      <c r="E4670" s="637"/>
      <c r="F4670" s="637"/>
      <c r="G4670" s="637"/>
      <c r="H4670" s="637"/>
      <c r="I4670" s="637"/>
      <c r="J4670" s="637"/>
    </row>
    <row r="4671" spans="1:10" x14ac:dyDescent="0.2">
      <c r="A4671" s="626"/>
      <c r="B4671" s="637"/>
      <c r="C4671" s="637"/>
      <c r="D4671" s="637"/>
      <c r="E4671" s="637"/>
      <c r="F4671" s="637"/>
      <c r="G4671" s="637"/>
      <c r="H4671" s="637"/>
      <c r="I4671" s="637"/>
      <c r="J4671" s="637"/>
    </row>
    <row r="4672" spans="1:10" x14ac:dyDescent="0.2">
      <c r="A4672" s="626"/>
      <c r="B4672" s="637"/>
      <c r="C4672" s="637"/>
      <c r="D4672" s="637"/>
      <c r="E4672" s="637"/>
      <c r="F4672" s="637"/>
      <c r="G4672" s="637"/>
      <c r="H4672" s="637"/>
      <c r="I4672" s="637"/>
      <c r="J4672" s="637"/>
    </row>
    <row r="4673" spans="1:10" x14ac:dyDescent="0.2">
      <c r="A4673" s="626"/>
      <c r="B4673" s="637"/>
      <c r="C4673" s="637"/>
      <c r="D4673" s="637"/>
      <c r="E4673" s="637"/>
      <c r="F4673" s="637"/>
      <c r="G4673" s="637"/>
      <c r="H4673" s="637"/>
      <c r="I4673" s="637"/>
      <c r="J4673" s="637"/>
    </row>
    <row r="4674" spans="1:10" x14ac:dyDescent="0.2">
      <c r="A4674" s="626"/>
      <c r="B4674" s="637"/>
      <c r="C4674" s="637"/>
      <c r="D4674" s="637"/>
      <c r="E4674" s="637"/>
      <c r="F4674" s="637"/>
      <c r="G4674" s="637"/>
      <c r="H4674" s="637"/>
      <c r="I4674" s="637"/>
      <c r="J4674" s="637"/>
    </row>
    <row r="4675" spans="1:10" x14ac:dyDescent="0.2">
      <c r="A4675" s="626"/>
      <c r="B4675" s="637"/>
      <c r="C4675" s="637"/>
      <c r="D4675" s="637"/>
      <c r="E4675" s="637"/>
      <c r="F4675" s="637"/>
      <c r="G4675" s="637"/>
      <c r="H4675" s="637"/>
      <c r="I4675" s="637"/>
      <c r="J4675" s="637"/>
    </row>
    <row r="4676" spans="1:10" x14ac:dyDescent="0.2">
      <c r="A4676" s="626"/>
      <c r="B4676" s="637"/>
      <c r="C4676" s="637"/>
      <c r="D4676" s="637"/>
      <c r="E4676" s="637"/>
      <c r="F4676" s="637"/>
      <c r="G4676" s="637"/>
      <c r="H4676" s="637"/>
      <c r="I4676" s="637"/>
      <c r="J4676" s="637"/>
    </row>
    <row r="4677" spans="1:10" x14ac:dyDescent="0.2">
      <c r="A4677" s="626"/>
      <c r="B4677" s="637"/>
      <c r="C4677" s="637"/>
      <c r="D4677" s="637"/>
      <c r="E4677" s="637"/>
      <c r="F4677" s="637"/>
      <c r="G4677" s="637"/>
      <c r="H4677" s="637"/>
      <c r="I4677" s="637"/>
      <c r="J4677" s="637"/>
    </row>
    <row r="4678" spans="1:10" x14ac:dyDescent="0.2">
      <c r="A4678" s="626"/>
      <c r="B4678" s="637"/>
      <c r="C4678" s="637"/>
      <c r="D4678" s="637"/>
      <c r="E4678" s="637"/>
      <c r="F4678" s="637"/>
      <c r="G4678" s="637"/>
      <c r="H4678" s="637"/>
      <c r="I4678" s="637"/>
      <c r="J4678" s="637"/>
    </row>
    <row r="4679" spans="1:10" x14ac:dyDescent="0.2">
      <c r="A4679" s="626"/>
      <c r="B4679" s="637"/>
      <c r="C4679" s="637"/>
      <c r="D4679" s="637"/>
      <c r="E4679" s="637"/>
      <c r="F4679" s="637"/>
      <c r="G4679" s="637"/>
      <c r="H4679" s="637"/>
      <c r="I4679" s="637"/>
      <c r="J4679" s="637"/>
    </row>
    <row r="4680" spans="1:10" x14ac:dyDescent="0.2">
      <c r="A4680" s="626"/>
      <c r="B4680" s="637"/>
      <c r="C4680" s="637"/>
      <c r="D4680" s="637"/>
      <c r="E4680" s="637"/>
      <c r="F4680" s="637"/>
      <c r="G4680" s="637"/>
      <c r="H4680" s="637"/>
      <c r="I4680" s="637"/>
      <c r="J4680" s="637"/>
    </row>
    <row r="4681" spans="1:10" x14ac:dyDescent="0.2">
      <c r="A4681" s="626"/>
      <c r="B4681" s="637"/>
      <c r="C4681" s="637"/>
      <c r="D4681" s="637"/>
      <c r="E4681" s="637"/>
      <c r="F4681" s="637"/>
      <c r="G4681" s="637"/>
      <c r="H4681" s="637"/>
      <c r="I4681" s="637"/>
      <c r="J4681" s="637"/>
    </row>
    <row r="4682" spans="1:10" x14ac:dyDescent="0.2">
      <c r="A4682" s="626"/>
      <c r="B4682" s="637"/>
      <c r="C4682" s="637"/>
      <c r="D4682" s="637"/>
      <c r="E4682" s="637"/>
      <c r="F4682" s="637"/>
      <c r="G4682" s="637"/>
      <c r="H4682" s="637"/>
      <c r="I4682" s="637"/>
      <c r="J4682" s="637"/>
    </row>
    <row r="4683" spans="1:10" x14ac:dyDescent="0.2">
      <c r="A4683" s="626"/>
      <c r="B4683" s="637"/>
      <c r="C4683" s="637"/>
      <c r="D4683" s="637"/>
      <c r="E4683" s="637"/>
      <c r="F4683" s="637"/>
      <c r="G4683" s="637"/>
      <c r="H4683" s="637"/>
      <c r="I4683" s="637"/>
      <c r="J4683" s="637"/>
    </row>
    <row r="4684" spans="1:10" x14ac:dyDescent="0.2">
      <c r="A4684" s="626"/>
      <c r="B4684" s="637"/>
      <c r="C4684" s="637"/>
      <c r="D4684" s="637"/>
      <c r="E4684" s="637"/>
      <c r="F4684" s="637"/>
      <c r="G4684" s="637"/>
      <c r="H4684" s="637"/>
      <c r="I4684" s="637"/>
      <c r="J4684" s="637"/>
    </row>
    <row r="4685" spans="1:10" x14ac:dyDescent="0.2">
      <c r="A4685" s="626"/>
      <c r="B4685" s="637"/>
      <c r="C4685" s="637"/>
      <c r="D4685" s="637"/>
      <c r="E4685" s="637"/>
      <c r="F4685" s="637"/>
      <c r="G4685" s="637"/>
      <c r="H4685" s="637"/>
      <c r="I4685" s="637"/>
      <c r="J4685" s="637"/>
    </row>
    <row r="4686" spans="1:10" x14ac:dyDescent="0.2">
      <c r="A4686" s="626"/>
      <c r="B4686" s="637"/>
      <c r="C4686" s="637"/>
      <c r="D4686" s="637"/>
      <c r="E4686" s="637"/>
      <c r="F4686" s="637"/>
      <c r="G4686" s="637"/>
      <c r="H4686" s="637"/>
      <c r="I4686" s="637"/>
      <c r="J4686" s="637"/>
    </row>
    <row r="4687" spans="1:10" x14ac:dyDescent="0.2">
      <c r="A4687" s="626"/>
      <c r="B4687" s="637"/>
      <c r="C4687" s="637"/>
      <c r="D4687" s="637"/>
      <c r="E4687" s="637"/>
      <c r="F4687" s="637"/>
      <c r="G4687" s="637"/>
      <c r="H4687" s="637"/>
      <c r="I4687" s="637"/>
      <c r="J4687" s="637"/>
    </row>
    <row r="4688" spans="1:10" x14ac:dyDescent="0.2">
      <c r="A4688" s="626"/>
      <c r="B4688" s="637"/>
      <c r="C4688" s="637"/>
      <c r="D4688" s="637"/>
      <c r="E4688" s="637"/>
      <c r="F4688" s="637"/>
      <c r="G4688" s="637"/>
      <c r="H4688" s="637"/>
      <c r="I4688" s="637"/>
      <c r="J4688" s="637"/>
    </row>
    <row r="4689" spans="1:10" x14ac:dyDescent="0.2">
      <c r="A4689" s="626"/>
      <c r="B4689" s="637"/>
      <c r="C4689" s="637"/>
      <c r="D4689" s="637"/>
      <c r="E4689" s="637"/>
      <c r="F4689" s="637"/>
      <c r="G4689" s="637"/>
      <c r="H4689" s="637"/>
      <c r="I4689" s="637"/>
      <c r="J4689" s="637"/>
    </row>
    <row r="4690" spans="1:10" x14ac:dyDescent="0.2">
      <c r="A4690" s="626"/>
      <c r="B4690" s="637"/>
      <c r="C4690" s="637"/>
      <c r="D4690" s="637"/>
      <c r="E4690" s="637"/>
      <c r="F4690" s="637"/>
      <c r="G4690" s="637"/>
      <c r="H4690" s="637"/>
      <c r="I4690" s="637"/>
      <c r="J4690" s="637"/>
    </row>
    <row r="4691" spans="1:10" x14ac:dyDescent="0.2">
      <c r="A4691" s="626"/>
      <c r="B4691" s="637"/>
      <c r="C4691" s="637"/>
      <c r="D4691" s="637"/>
      <c r="E4691" s="637"/>
      <c r="F4691" s="637"/>
      <c r="G4691" s="637"/>
      <c r="H4691" s="637"/>
      <c r="I4691" s="637"/>
      <c r="J4691" s="637"/>
    </row>
    <row r="4692" spans="1:10" x14ac:dyDescent="0.2">
      <c r="A4692" s="626"/>
      <c r="B4692" s="637"/>
      <c r="C4692" s="637"/>
      <c r="D4692" s="637"/>
      <c r="E4692" s="637"/>
      <c r="F4692" s="637"/>
      <c r="G4692" s="637"/>
      <c r="H4692" s="637"/>
      <c r="I4692" s="637"/>
      <c r="J4692" s="637"/>
    </row>
    <row r="4693" spans="1:10" x14ac:dyDescent="0.2">
      <c r="A4693" s="626"/>
      <c r="B4693" s="637"/>
      <c r="C4693" s="637"/>
      <c r="D4693" s="637"/>
      <c r="E4693" s="637"/>
      <c r="F4693" s="637"/>
      <c r="G4693" s="637"/>
      <c r="H4693" s="637"/>
      <c r="I4693" s="637"/>
      <c r="J4693" s="637"/>
    </row>
    <row r="4694" spans="1:10" x14ac:dyDescent="0.2">
      <c r="A4694" s="626"/>
      <c r="B4694" s="637"/>
      <c r="C4694" s="637"/>
      <c r="D4694" s="637"/>
      <c r="E4694" s="637"/>
      <c r="F4694" s="637"/>
      <c r="G4694" s="637"/>
      <c r="H4694" s="637"/>
      <c r="I4694" s="637"/>
      <c r="J4694" s="637"/>
    </row>
    <row r="4695" spans="1:10" x14ac:dyDescent="0.2">
      <c r="A4695" s="626"/>
      <c r="B4695" s="637"/>
      <c r="C4695" s="637"/>
      <c r="D4695" s="637"/>
      <c r="E4695" s="637"/>
      <c r="F4695" s="637"/>
      <c r="G4695" s="637"/>
      <c r="H4695" s="637"/>
      <c r="I4695" s="637"/>
      <c r="J4695" s="637"/>
    </row>
    <row r="4696" spans="1:10" x14ac:dyDescent="0.2">
      <c r="A4696" s="626"/>
      <c r="B4696" s="637"/>
      <c r="C4696" s="637"/>
      <c r="D4696" s="637"/>
      <c r="E4696" s="637"/>
      <c r="F4696" s="637"/>
      <c r="G4696" s="637"/>
      <c r="H4696" s="637"/>
      <c r="I4696" s="637"/>
      <c r="J4696" s="637"/>
    </row>
    <row r="4697" spans="1:10" x14ac:dyDescent="0.2">
      <c r="A4697" s="626"/>
      <c r="B4697" s="637"/>
      <c r="C4697" s="637"/>
      <c r="D4697" s="637"/>
      <c r="E4697" s="637"/>
      <c r="F4697" s="637"/>
      <c r="G4697" s="637"/>
      <c r="H4697" s="637"/>
      <c r="I4697" s="637"/>
      <c r="J4697" s="637"/>
    </row>
    <row r="4698" spans="1:10" x14ac:dyDescent="0.2">
      <c r="A4698" s="626"/>
      <c r="B4698" s="637"/>
      <c r="C4698" s="637"/>
      <c r="D4698" s="637"/>
      <c r="E4698" s="637"/>
      <c r="F4698" s="637"/>
      <c r="G4698" s="637"/>
      <c r="H4698" s="637"/>
      <c r="I4698" s="637"/>
      <c r="J4698" s="637"/>
    </row>
    <row r="4699" spans="1:10" x14ac:dyDescent="0.2">
      <c r="A4699" s="626"/>
      <c r="B4699" s="637"/>
      <c r="C4699" s="637"/>
      <c r="D4699" s="637"/>
      <c r="E4699" s="637"/>
      <c r="F4699" s="637"/>
      <c r="G4699" s="637"/>
      <c r="H4699" s="637"/>
      <c r="I4699" s="637"/>
      <c r="J4699" s="637"/>
    </row>
    <row r="4700" spans="1:10" x14ac:dyDescent="0.2">
      <c r="A4700" s="626"/>
      <c r="B4700" s="637"/>
      <c r="C4700" s="637"/>
      <c r="D4700" s="637"/>
      <c r="E4700" s="637"/>
      <c r="F4700" s="637"/>
      <c r="G4700" s="637"/>
      <c r="H4700" s="637"/>
      <c r="I4700" s="637"/>
      <c r="J4700" s="637"/>
    </row>
    <row r="4701" spans="1:10" x14ac:dyDescent="0.2">
      <c r="A4701" s="626"/>
      <c r="B4701" s="637"/>
      <c r="C4701" s="637"/>
      <c r="D4701" s="637"/>
      <c r="E4701" s="637"/>
      <c r="F4701" s="637"/>
      <c r="G4701" s="637"/>
      <c r="H4701" s="637"/>
      <c r="I4701" s="637"/>
      <c r="J4701" s="637"/>
    </row>
    <row r="4702" spans="1:10" x14ac:dyDescent="0.2">
      <c r="A4702" s="626"/>
      <c r="B4702" s="637"/>
      <c r="C4702" s="637"/>
      <c r="D4702" s="637"/>
      <c r="E4702" s="637"/>
      <c r="F4702" s="637"/>
      <c r="G4702" s="637"/>
      <c r="H4702" s="637"/>
      <c r="I4702" s="637"/>
      <c r="J4702" s="637"/>
    </row>
    <row r="4703" spans="1:10" x14ac:dyDescent="0.2">
      <c r="A4703" s="626"/>
      <c r="B4703" s="637"/>
      <c r="C4703" s="637"/>
      <c r="D4703" s="637"/>
      <c r="E4703" s="637"/>
      <c r="F4703" s="637"/>
      <c r="G4703" s="637"/>
      <c r="H4703" s="637"/>
      <c r="I4703" s="637"/>
      <c r="J4703" s="637"/>
    </row>
    <row r="4704" spans="1:10" x14ac:dyDescent="0.2">
      <c r="A4704" s="626"/>
      <c r="B4704" s="637"/>
      <c r="C4704" s="637"/>
      <c r="D4704" s="637"/>
      <c r="E4704" s="637"/>
      <c r="F4704" s="637"/>
      <c r="G4704" s="637"/>
      <c r="H4704" s="637"/>
      <c r="I4704" s="637"/>
      <c r="J4704" s="637"/>
    </row>
    <row r="4705" spans="1:10" x14ac:dyDescent="0.2">
      <c r="A4705" s="626"/>
      <c r="B4705" s="637"/>
      <c r="C4705" s="637"/>
      <c r="D4705" s="637"/>
      <c r="E4705" s="637"/>
      <c r="F4705" s="637"/>
      <c r="G4705" s="637"/>
      <c r="H4705" s="637"/>
      <c r="I4705" s="637"/>
      <c r="J4705" s="637"/>
    </row>
    <row r="4706" spans="1:10" x14ac:dyDescent="0.2">
      <c r="A4706" s="626"/>
      <c r="B4706" s="637"/>
      <c r="C4706" s="637"/>
      <c r="D4706" s="637"/>
      <c r="E4706" s="637"/>
      <c r="F4706" s="637"/>
      <c r="G4706" s="637"/>
      <c r="H4706" s="637"/>
      <c r="I4706" s="637"/>
      <c r="J4706" s="637"/>
    </row>
    <row r="4707" spans="1:10" x14ac:dyDescent="0.2">
      <c r="A4707" s="626"/>
      <c r="B4707" s="637"/>
      <c r="C4707" s="637"/>
      <c r="D4707" s="637"/>
      <c r="E4707" s="637"/>
      <c r="F4707" s="637"/>
      <c r="G4707" s="637"/>
      <c r="H4707" s="637"/>
      <c r="I4707" s="637"/>
      <c r="J4707" s="637"/>
    </row>
    <row r="4708" spans="1:10" x14ac:dyDescent="0.2">
      <c r="A4708" s="626"/>
      <c r="B4708" s="637"/>
      <c r="C4708" s="637"/>
      <c r="D4708" s="637"/>
      <c r="E4708" s="637"/>
      <c r="F4708" s="637"/>
      <c r="G4708" s="637"/>
      <c r="H4708" s="637"/>
      <c r="I4708" s="637"/>
      <c r="J4708" s="637"/>
    </row>
    <row r="4709" spans="1:10" x14ac:dyDescent="0.2">
      <c r="A4709" s="626"/>
      <c r="B4709" s="637"/>
      <c r="C4709" s="637"/>
      <c r="D4709" s="637"/>
      <c r="E4709" s="637"/>
      <c r="F4709" s="637"/>
      <c r="G4709" s="637"/>
      <c r="H4709" s="637"/>
      <c r="I4709" s="637"/>
      <c r="J4709" s="637"/>
    </row>
    <row r="4710" spans="1:10" x14ac:dyDescent="0.2">
      <c r="A4710" s="626"/>
      <c r="B4710" s="637"/>
      <c r="C4710" s="637"/>
      <c r="D4710" s="637"/>
      <c r="E4710" s="637"/>
      <c r="F4710" s="637"/>
      <c r="G4710" s="637"/>
      <c r="H4710" s="637"/>
      <c r="I4710" s="637"/>
      <c r="J4710" s="637"/>
    </row>
    <row r="4711" spans="1:10" x14ac:dyDescent="0.2">
      <c r="A4711" s="626"/>
      <c r="B4711" s="637"/>
      <c r="C4711" s="637"/>
      <c r="D4711" s="637"/>
      <c r="E4711" s="637"/>
      <c r="F4711" s="637"/>
      <c r="G4711" s="637"/>
      <c r="H4711" s="637"/>
      <c r="I4711" s="637"/>
      <c r="J4711" s="637"/>
    </row>
    <row r="4712" spans="1:10" x14ac:dyDescent="0.2">
      <c r="A4712" s="626"/>
      <c r="B4712" s="637"/>
      <c r="C4712" s="637"/>
      <c r="D4712" s="637"/>
      <c r="E4712" s="637"/>
      <c r="F4712" s="637"/>
      <c r="G4712" s="637"/>
      <c r="H4712" s="637"/>
      <c r="I4712" s="637"/>
      <c r="J4712" s="637"/>
    </row>
    <row r="4713" spans="1:10" x14ac:dyDescent="0.2">
      <c r="A4713" s="626"/>
      <c r="B4713" s="637"/>
      <c r="C4713" s="637"/>
      <c r="D4713" s="637"/>
      <c r="E4713" s="637"/>
      <c r="F4713" s="637"/>
      <c r="G4713" s="637"/>
      <c r="H4713" s="637"/>
      <c r="I4713" s="637"/>
      <c r="J4713" s="637"/>
    </row>
    <row r="4714" spans="1:10" x14ac:dyDescent="0.2">
      <c r="A4714" s="626"/>
      <c r="B4714" s="637"/>
      <c r="C4714" s="637"/>
      <c r="D4714" s="637"/>
      <c r="E4714" s="637"/>
      <c r="F4714" s="637"/>
      <c r="G4714" s="637"/>
      <c r="H4714" s="637"/>
      <c r="I4714" s="637"/>
      <c r="J4714" s="637"/>
    </row>
    <row r="4715" spans="1:10" x14ac:dyDescent="0.2">
      <c r="A4715" s="626"/>
      <c r="B4715" s="637"/>
      <c r="C4715" s="637"/>
      <c r="D4715" s="637"/>
      <c r="E4715" s="637"/>
      <c r="F4715" s="637"/>
      <c r="G4715" s="637"/>
      <c r="H4715" s="637"/>
      <c r="I4715" s="637"/>
      <c r="J4715" s="637"/>
    </row>
    <row r="4716" spans="1:10" x14ac:dyDescent="0.2">
      <c r="A4716" s="626"/>
      <c r="B4716" s="637"/>
      <c r="C4716" s="637"/>
      <c r="D4716" s="637"/>
      <c r="E4716" s="637"/>
      <c r="F4716" s="637"/>
      <c r="G4716" s="637"/>
      <c r="H4716" s="637"/>
      <c r="I4716" s="637"/>
      <c r="J4716" s="637"/>
    </row>
    <row r="4717" spans="1:10" x14ac:dyDescent="0.2">
      <c r="A4717" s="626"/>
      <c r="B4717" s="637"/>
      <c r="C4717" s="637"/>
      <c r="D4717" s="637"/>
      <c r="E4717" s="637"/>
      <c r="F4717" s="637"/>
      <c r="G4717" s="637"/>
      <c r="H4717" s="637"/>
      <c r="I4717" s="637"/>
      <c r="J4717" s="637"/>
    </row>
    <row r="4718" spans="1:10" x14ac:dyDescent="0.2">
      <c r="A4718" s="626"/>
      <c r="B4718" s="637"/>
      <c r="C4718" s="637"/>
      <c r="D4718" s="637"/>
      <c r="E4718" s="637"/>
      <c r="F4718" s="637"/>
      <c r="G4718" s="637"/>
      <c r="H4718" s="637"/>
      <c r="I4718" s="637"/>
      <c r="J4718" s="637"/>
    </row>
    <row r="4719" spans="1:10" x14ac:dyDescent="0.2">
      <c r="A4719" s="626"/>
      <c r="B4719" s="637"/>
      <c r="C4719" s="637"/>
      <c r="D4719" s="637"/>
      <c r="E4719" s="637"/>
      <c r="F4719" s="637"/>
      <c r="G4719" s="637"/>
      <c r="H4719" s="637"/>
      <c r="I4719" s="637"/>
      <c r="J4719" s="637"/>
    </row>
    <row r="4720" spans="1:10" x14ac:dyDescent="0.2">
      <c r="A4720" s="626"/>
      <c r="B4720" s="637"/>
      <c r="C4720" s="637"/>
      <c r="D4720" s="637"/>
      <c r="E4720" s="637"/>
      <c r="F4720" s="637"/>
      <c r="G4720" s="637"/>
      <c r="H4720" s="637"/>
      <c r="I4720" s="637"/>
      <c r="J4720" s="637"/>
    </row>
    <row r="4721" spans="1:10" x14ac:dyDescent="0.2">
      <c r="A4721" s="626"/>
      <c r="B4721" s="637"/>
      <c r="C4721" s="637"/>
      <c r="D4721" s="637"/>
      <c r="E4721" s="637"/>
      <c r="F4721" s="637"/>
      <c r="G4721" s="637"/>
      <c r="H4721" s="637"/>
      <c r="I4721" s="637"/>
      <c r="J4721" s="637"/>
    </row>
    <row r="4722" spans="1:10" x14ac:dyDescent="0.2">
      <c r="A4722" s="626"/>
      <c r="B4722" s="637"/>
      <c r="C4722" s="637"/>
      <c r="D4722" s="637"/>
      <c r="E4722" s="637"/>
      <c r="F4722" s="637"/>
      <c r="G4722" s="637"/>
      <c r="H4722" s="637"/>
      <c r="I4722" s="637"/>
      <c r="J4722" s="637"/>
    </row>
    <row r="4723" spans="1:10" x14ac:dyDescent="0.2">
      <c r="A4723" s="626"/>
      <c r="B4723" s="637"/>
      <c r="C4723" s="637"/>
      <c r="D4723" s="637"/>
      <c r="E4723" s="637"/>
      <c r="F4723" s="637"/>
      <c r="G4723" s="637"/>
      <c r="H4723" s="637"/>
      <c r="I4723" s="637"/>
      <c r="J4723" s="637"/>
    </row>
    <row r="4724" spans="1:10" x14ac:dyDescent="0.2">
      <c r="A4724" s="626"/>
      <c r="B4724" s="637"/>
      <c r="C4724" s="637"/>
      <c r="D4724" s="637"/>
      <c r="E4724" s="637"/>
      <c r="F4724" s="637"/>
      <c r="G4724" s="637"/>
      <c r="H4724" s="637"/>
      <c r="I4724" s="637"/>
      <c r="J4724" s="637"/>
    </row>
    <row r="4725" spans="1:10" x14ac:dyDescent="0.2">
      <c r="A4725" s="626"/>
      <c r="B4725" s="637"/>
      <c r="C4725" s="637"/>
      <c r="D4725" s="637"/>
      <c r="E4725" s="637"/>
      <c r="F4725" s="637"/>
      <c r="G4725" s="637"/>
      <c r="H4725" s="637"/>
      <c r="I4725" s="637"/>
      <c r="J4725" s="637"/>
    </row>
    <row r="4726" spans="1:10" x14ac:dyDescent="0.2">
      <c r="A4726" s="626"/>
      <c r="B4726" s="637"/>
      <c r="C4726" s="637"/>
      <c r="D4726" s="637"/>
      <c r="E4726" s="637"/>
      <c r="F4726" s="637"/>
      <c r="G4726" s="637"/>
      <c r="H4726" s="637"/>
      <c r="I4726" s="637"/>
      <c r="J4726" s="637"/>
    </row>
    <row r="4727" spans="1:10" x14ac:dyDescent="0.2">
      <c r="A4727" s="626"/>
      <c r="B4727" s="637"/>
      <c r="C4727" s="637"/>
      <c r="D4727" s="637"/>
      <c r="E4727" s="637"/>
      <c r="F4727" s="637"/>
      <c r="G4727" s="637"/>
      <c r="H4727" s="637"/>
      <c r="I4727" s="637"/>
      <c r="J4727" s="637"/>
    </row>
    <row r="4728" spans="1:10" x14ac:dyDescent="0.2">
      <c r="A4728" s="626"/>
      <c r="B4728" s="637"/>
      <c r="C4728" s="637"/>
      <c r="D4728" s="637"/>
      <c r="E4728" s="637"/>
      <c r="F4728" s="637"/>
      <c r="G4728" s="637"/>
      <c r="H4728" s="637"/>
      <c r="I4728" s="637"/>
      <c r="J4728" s="637"/>
    </row>
    <row r="4729" spans="1:10" x14ac:dyDescent="0.2">
      <c r="A4729" s="626"/>
      <c r="B4729" s="637"/>
      <c r="C4729" s="637"/>
      <c r="D4729" s="637"/>
      <c r="E4729" s="637"/>
      <c r="F4729" s="637"/>
      <c r="G4729" s="637"/>
      <c r="H4729" s="637"/>
      <c r="I4729" s="637"/>
      <c r="J4729" s="637"/>
    </row>
    <row r="4730" spans="1:10" x14ac:dyDescent="0.2">
      <c r="A4730" s="626"/>
      <c r="B4730" s="637"/>
      <c r="C4730" s="637"/>
      <c r="D4730" s="637"/>
      <c r="E4730" s="637"/>
      <c r="F4730" s="637"/>
      <c r="G4730" s="637"/>
      <c r="H4730" s="637"/>
      <c r="I4730" s="637"/>
      <c r="J4730" s="637"/>
    </row>
    <row r="4731" spans="1:10" x14ac:dyDescent="0.2">
      <c r="A4731" s="626"/>
      <c r="B4731" s="637"/>
      <c r="C4731" s="637"/>
      <c r="D4731" s="637"/>
      <c r="E4731" s="637"/>
      <c r="F4731" s="637"/>
      <c r="G4731" s="637"/>
      <c r="H4731" s="637"/>
      <c r="I4731" s="637"/>
      <c r="J4731" s="637"/>
    </row>
    <row r="4732" spans="1:10" x14ac:dyDescent="0.2">
      <c r="A4732" s="626"/>
      <c r="B4732" s="637"/>
      <c r="C4732" s="637"/>
      <c r="D4732" s="637"/>
      <c r="E4732" s="637"/>
      <c r="F4732" s="637"/>
      <c r="G4732" s="637"/>
      <c r="H4732" s="637"/>
      <c r="I4732" s="637"/>
      <c r="J4732" s="637"/>
    </row>
    <row r="4733" spans="1:10" x14ac:dyDescent="0.2">
      <c r="A4733" s="626"/>
      <c r="B4733" s="637"/>
      <c r="C4733" s="637"/>
      <c r="D4733" s="637"/>
      <c r="E4733" s="637"/>
      <c r="F4733" s="637"/>
      <c r="G4733" s="637"/>
      <c r="H4733" s="637"/>
      <c r="I4733" s="637"/>
      <c r="J4733" s="637"/>
    </row>
    <row r="4734" spans="1:10" x14ac:dyDescent="0.2">
      <c r="A4734" s="626"/>
      <c r="B4734" s="637"/>
      <c r="C4734" s="637"/>
      <c r="D4734" s="637"/>
      <c r="E4734" s="637"/>
      <c r="F4734" s="637"/>
      <c r="G4734" s="637"/>
      <c r="H4734" s="637"/>
      <c r="I4734" s="637"/>
      <c r="J4734" s="637"/>
    </row>
    <row r="4735" spans="1:10" x14ac:dyDescent="0.2">
      <c r="A4735" s="626"/>
      <c r="B4735" s="637"/>
      <c r="C4735" s="637"/>
      <c r="D4735" s="637"/>
      <c r="E4735" s="637"/>
      <c r="F4735" s="637"/>
      <c r="G4735" s="637"/>
      <c r="H4735" s="637"/>
      <c r="I4735" s="637"/>
      <c r="J4735" s="637"/>
    </row>
    <row r="4736" spans="1:10" x14ac:dyDescent="0.2">
      <c r="A4736" s="626"/>
      <c r="B4736" s="637"/>
      <c r="C4736" s="637"/>
      <c r="D4736" s="637"/>
      <c r="E4736" s="637"/>
      <c r="F4736" s="637"/>
      <c r="G4736" s="637"/>
      <c r="H4736" s="637"/>
      <c r="I4736" s="637"/>
      <c r="J4736" s="637"/>
    </row>
    <row r="4737" spans="1:10" x14ac:dyDescent="0.2">
      <c r="A4737" s="626"/>
      <c r="B4737" s="637"/>
      <c r="C4737" s="637"/>
      <c r="D4737" s="637"/>
      <c r="E4737" s="637"/>
      <c r="F4737" s="637"/>
      <c r="G4737" s="637"/>
      <c r="H4737" s="637"/>
      <c r="I4737" s="637"/>
      <c r="J4737" s="637"/>
    </row>
    <row r="4738" spans="1:10" x14ac:dyDescent="0.2">
      <c r="A4738" s="626"/>
      <c r="B4738" s="637"/>
      <c r="C4738" s="637"/>
      <c r="D4738" s="637"/>
      <c r="E4738" s="637"/>
      <c r="F4738" s="637"/>
      <c r="G4738" s="637"/>
      <c r="H4738" s="637"/>
      <c r="I4738" s="637"/>
      <c r="J4738" s="637"/>
    </row>
    <row r="4739" spans="1:10" x14ac:dyDescent="0.2">
      <c r="A4739" s="626"/>
      <c r="B4739" s="637"/>
      <c r="C4739" s="637"/>
      <c r="D4739" s="637"/>
      <c r="E4739" s="637"/>
      <c r="F4739" s="637"/>
      <c r="G4739" s="637"/>
      <c r="H4739" s="637"/>
      <c r="I4739" s="637"/>
      <c r="J4739" s="637"/>
    </row>
    <row r="4740" spans="1:10" x14ac:dyDescent="0.2">
      <c r="A4740" s="626"/>
      <c r="B4740" s="637"/>
      <c r="C4740" s="637"/>
      <c r="D4740" s="637"/>
      <c r="E4740" s="637"/>
      <c r="F4740" s="637"/>
      <c r="G4740" s="637"/>
      <c r="H4740" s="637"/>
      <c r="I4740" s="637"/>
      <c r="J4740" s="637"/>
    </row>
    <row r="4741" spans="1:10" x14ac:dyDescent="0.2">
      <c r="A4741" s="626"/>
      <c r="B4741" s="637"/>
      <c r="C4741" s="637"/>
      <c r="D4741" s="637"/>
      <c r="E4741" s="637"/>
      <c r="F4741" s="637"/>
      <c r="G4741" s="637"/>
      <c r="H4741" s="637"/>
      <c r="I4741" s="637"/>
      <c r="J4741" s="637"/>
    </row>
    <row r="4742" spans="1:10" x14ac:dyDescent="0.2">
      <c r="A4742" s="626"/>
      <c r="B4742" s="637"/>
      <c r="C4742" s="637"/>
      <c r="D4742" s="637"/>
      <c r="E4742" s="637"/>
      <c r="F4742" s="637"/>
      <c r="G4742" s="637"/>
      <c r="H4742" s="637"/>
      <c r="I4742" s="637"/>
      <c r="J4742" s="637"/>
    </row>
    <row r="4743" spans="1:10" x14ac:dyDescent="0.2">
      <c r="A4743" s="626"/>
      <c r="B4743" s="637"/>
      <c r="C4743" s="637"/>
      <c r="D4743" s="637"/>
      <c r="E4743" s="637"/>
      <c r="F4743" s="637"/>
      <c r="G4743" s="637"/>
      <c r="H4743" s="637"/>
      <c r="I4743" s="637"/>
      <c r="J4743" s="637"/>
    </row>
    <row r="4744" spans="1:10" x14ac:dyDescent="0.2">
      <c r="A4744" s="626"/>
      <c r="B4744" s="637"/>
      <c r="C4744" s="637"/>
      <c r="D4744" s="637"/>
      <c r="E4744" s="637"/>
      <c r="F4744" s="637"/>
      <c r="G4744" s="637"/>
      <c r="H4744" s="637"/>
      <c r="I4744" s="637"/>
      <c r="J4744" s="637"/>
    </row>
    <row r="4745" spans="1:10" x14ac:dyDescent="0.2">
      <c r="A4745" s="626"/>
      <c r="B4745" s="637"/>
      <c r="C4745" s="637"/>
      <c r="D4745" s="637"/>
      <c r="E4745" s="637"/>
      <c r="F4745" s="637"/>
      <c r="G4745" s="637"/>
      <c r="H4745" s="637"/>
      <c r="I4745" s="637"/>
      <c r="J4745" s="637"/>
    </row>
    <row r="4746" spans="1:10" x14ac:dyDescent="0.2">
      <c r="A4746" s="626"/>
      <c r="B4746" s="637"/>
      <c r="C4746" s="637"/>
      <c r="D4746" s="637"/>
      <c r="E4746" s="637"/>
      <c r="F4746" s="637"/>
      <c r="G4746" s="637"/>
      <c r="H4746" s="637"/>
      <c r="I4746" s="637"/>
      <c r="J4746" s="637"/>
    </row>
    <row r="4747" spans="1:10" x14ac:dyDescent="0.2">
      <c r="A4747" s="626"/>
      <c r="B4747" s="637"/>
      <c r="C4747" s="637"/>
      <c r="D4747" s="637"/>
      <c r="E4747" s="637"/>
      <c r="F4747" s="637"/>
      <c r="G4747" s="637"/>
      <c r="H4747" s="637"/>
      <c r="I4747" s="637"/>
      <c r="J4747" s="637"/>
    </row>
    <row r="4748" spans="1:10" x14ac:dyDescent="0.2">
      <c r="A4748" s="626"/>
      <c r="B4748" s="637"/>
      <c r="C4748" s="637"/>
      <c r="D4748" s="637"/>
      <c r="E4748" s="637"/>
      <c r="F4748" s="637"/>
      <c r="G4748" s="637"/>
      <c r="H4748" s="637"/>
      <c r="I4748" s="637"/>
      <c r="J4748" s="637"/>
    </row>
    <row r="4749" spans="1:10" x14ac:dyDescent="0.2">
      <c r="A4749" s="626"/>
      <c r="B4749" s="637"/>
      <c r="C4749" s="637"/>
      <c r="D4749" s="637"/>
      <c r="E4749" s="637"/>
      <c r="F4749" s="637"/>
      <c r="G4749" s="637"/>
      <c r="H4749" s="637"/>
      <c r="I4749" s="637"/>
      <c r="J4749" s="637"/>
    </row>
    <row r="4750" spans="1:10" x14ac:dyDescent="0.2">
      <c r="A4750" s="626"/>
      <c r="B4750" s="637"/>
      <c r="C4750" s="637"/>
      <c r="D4750" s="637"/>
      <c r="E4750" s="637"/>
      <c r="F4750" s="637"/>
      <c r="G4750" s="637"/>
      <c r="H4750" s="637"/>
      <c r="I4750" s="637"/>
      <c r="J4750" s="637"/>
    </row>
    <row r="4751" spans="1:10" x14ac:dyDescent="0.2">
      <c r="A4751" s="626"/>
      <c r="B4751" s="637"/>
      <c r="C4751" s="637"/>
      <c r="D4751" s="637"/>
      <c r="E4751" s="637"/>
      <c r="F4751" s="637"/>
      <c r="G4751" s="637"/>
      <c r="H4751" s="637"/>
      <c r="I4751" s="637"/>
      <c r="J4751" s="637"/>
    </row>
    <row r="4752" spans="1:10" x14ac:dyDescent="0.2">
      <c r="A4752" s="626"/>
      <c r="B4752" s="637"/>
      <c r="C4752" s="637"/>
      <c r="D4752" s="637"/>
      <c r="E4752" s="637"/>
      <c r="F4752" s="637"/>
      <c r="G4752" s="637"/>
      <c r="H4752" s="637"/>
      <c r="I4752" s="637"/>
      <c r="J4752" s="637"/>
    </row>
    <row r="4753" spans="1:10" x14ac:dyDescent="0.2">
      <c r="A4753" s="626"/>
      <c r="B4753" s="637"/>
      <c r="C4753" s="637"/>
      <c r="D4753" s="637"/>
      <c r="E4753" s="637"/>
      <c r="F4753" s="637"/>
      <c r="G4753" s="637"/>
      <c r="H4753" s="637"/>
      <c r="I4753" s="637"/>
      <c r="J4753" s="637"/>
    </row>
    <row r="4754" spans="1:10" x14ac:dyDescent="0.2">
      <c r="A4754" s="626"/>
      <c r="B4754" s="637"/>
      <c r="C4754" s="637"/>
      <c r="D4754" s="637"/>
      <c r="E4754" s="637"/>
      <c r="F4754" s="637"/>
      <c r="G4754" s="637"/>
      <c r="H4754" s="637"/>
      <c r="I4754" s="637"/>
      <c r="J4754" s="637"/>
    </row>
    <row r="4755" spans="1:10" x14ac:dyDescent="0.2">
      <c r="A4755" s="626"/>
      <c r="B4755" s="637"/>
      <c r="C4755" s="637"/>
      <c r="D4755" s="637"/>
      <c r="E4755" s="637"/>
      <c r="F4755" s="637"/>
      <c r="G4755" s="637"/>
      <c r="H4755" s="637"/>
      <c r="I4755" s="637"/>
      <c r="J4755" s="637"/>
    </row>
    <row r="4756" spans="1:10" x14ac:dyDescent="0.2">
      <c r="A4756" s="626"/>
      <c r="B4756" s="637"/>
      <c r="C4756" s="637"/>
      <c r="D4756" s="637"/>
      <c r="E4756" s="637"/>
      <c r="F4756" s="637"/>
      <c r="G4756" s="637"/>
      <c r="H4756" s="637"/>
      <c r="I4756" s="637"/>
      <c r="J4756" s="637"/>
    </row>
    <row r="4757" spans="1:10" x14ac:dyDescent="0.2">
      <c r="A4757" s="626"/>
      <c r="B4757" s="637"/>
      <c r="C4757" s="637"/>
      <c r="D4757" s="637"/>
      <c r="E4757" s="637"/>
      <c r="F4757" s="637"/>
      <c r="G4757" s="637"/>
      <c r="H4757" s="637"/>
      <c r="I4757" s="637"/>
      <c r="J4757" s="637"/>
    </row>
    <row r="4758" spans="1:10" x14ac:dyDescent="0.2">
      <c r="A4758" s="626"/>
      <c r="B4758" s="637"/>
      <c r="C4758" s="637"/>
      <c r="D4758" s="637"/>
      <c r="E4758" s="637"/>
      <c r="F4758" s="637"/>
      <c r="G4758" s="637"/>
      <c r="H4758" s="637"/>
      <c r="I4758" s="637"/>
      <c r="J4758" s="637"/>
    </row>
    <row r="4759" spans="1:10" x14ac:dyDescent="0.2">
      <c r="A4759" s="626"/>
      <c r="B4759" s="637"/>
      <c r="C4759" s="637"/>
      <c r="D4759" s="637"/>
      <c r="E4759" s="637"/>
      <c r="F4759" s="637"/>
      <c r="G4759" s="637"/>
      <c r="H4759" s="637"/>
      <c r="I4759" s="637"/>
      <c r="J4759" s="637"/>
    </row>
    <row r="4760" spans="1:10" x14ac:dyDescent="0.2">
      <c r="A4760" s="626"/>
      <c r="B4760" s="637"/>
      <c r="C4760" s="637"/>
      <c r="D4760" s="637"/>
      <c r="E4760" s="637"/>
      <c r="F4760" s="637"/>
      <c r="G4760" s="637"/>
      <c r="H4760" s="637"/>
      <c r="I4760" s="637"/>
      <c r="J4760" s="637"/>
    </row>
    <row r="4761" spans="1:10" x14ac:dyDescent="0.2">
      <c r="A4761" s="626"/>
      <c r="B4761" s="637"/>
      <c r="C4761" s="637"/>
      <c r="D4761" s="637"/>
      <c r="E4761" s="637"/>
      <c r="F4761" s="637"/>
      <c r="G4761" s="637"/>
      <c r="H4761" s="637"/>
      <c r="I4761" s="637"/>
      <c r="J4761" s="637"/>
    </row>
    <row r="4762" spans="1:10" x14ac:dyDescent="0.2">
      <c r="A4762" s="626"/>
      <c r="B4762" s="637"/>
      <c r="C4762" s="637"/>
      <c r="D4762" s="637"/>
      <c r="E4762" s="637"/>
      <c r="F4762" s="637"/>
      <c r="G4762" s="637"/>
      <c r="H4762" s="637"/>
      <c r="I4762" s="637"/>
      <c r="J4762" s="637"/>
    </row>
    <row r="4763" spans="1:10" x14ac:dyDescent="0.2">
      <c r="A4763" s="626"/>
      <c r="B4763" s="637"/>
      <c r="C4763" s="637"/>
      <c r="D4763" s="637"/>
      <c r="E4763" s="637"/>
      <c r="F4763" s="637"/>
      <c r="G4763" s="637"/>
      <c r="H4763" s="637"/>
      <c r="I4763" s="637"/>
      <c r="J4763" s="637"/>
    </row>
    <row r="4764" spans="1:10" x14ac:dyDescent="0.2">
      <c r="A4764" s="626"/>
      <c r="B4764" s="637"/>
      <c r="C4764" s="637"/>
      <c r="D4764" s="637"/>
      <c r="E4764" s="637"/>
      <c r="F4764" s="637"/>
      <c r="G4764" s="637"/>
      <c r="H4764" s="637"/>
      <c r="I4764" s="637"/>
      <c r="J4764" s="637"/>
    </row>
    <row r="4765" spans="1:10" x14ac:dyDescent="0.2">
      <c r="A4765" s="626"/>
      <c r="B4765" s="637"/>
      <c r="C4765" s="637"/>
      <c r="D4765" s="637"/>
      <c r="E4765" s="637"/>
      <c r="F4765" s="637"/>
      <c r="G4765" s="637"/>
      <c r="H4765" s="637"/>
      <c r="I4765" s="637"/>
      <c r="J4765" s="637"/>
    </row>
    <row r="4766" spans="1:10" x14ac:dyDescent="0.2">
      <c r="A4766" s="626"/>
      <c r="B4766" s="637"/>
      <c r="C4766" s="637"/>
      <c r="D4766" s="637"/>
      <c r="E4766" s="637"/>
      <c r="F4766" s="637"/>
      <c r="G4766" s="637"/>
      <c r="H4766" s="637"/>
      <c r="I4766" s="637"/>
      <c r="J4766" s="637"/>
    </row>
    <row r="4767" spans="1:10" x14ac:dyDescent="0.2">
      <c r="A4767" s="626"/>
      <c r="B4767" s="637"/>
      <c r="C4767" s="637"/>
      <c r="D4767" s="637"/>
      <c r="E4767" s="637"/>
      <c r="F4767" s="637"/>
      <c r="G4767" s="637"/>
      <c r="H4767" s="637"/>
      <c r="I4767" s="637"/>
      <c r="J4767" s="637"/>
    </row>
    <row r="4768" spans="1:10" x14ac:dyDescent="0.2">
      <c r="A4768" s="626"/>
      <c r="B4768" s="637"/>
      <c r="C4768" s="637"/>
      <c r="D4768" s="637"/>
      <c r="E4768" s="637"/>
      <c r="F4768" s="637"/>
      <c r="G4768" s="637"/>
      <c r="H4768" s="637"/>
      <c r="I4768" s="637"/>
      <c r="J4768" s="637"/>
    </row>
    <row r="4769" spans="1:10" x14ac:dyDescent="0.2">
      <c r="A4769" s="626"/>
      <c r="B4769" s="637"/>
      <c r="C4769" s="637"/>
      <c r="D4769" s="637"/>
      <c r="E4769" s="637"/>
      <c r="F4769" s="637"/>
      <c r="G4769" s="637"/>
      <c r="H4769" s="637"/>
      <c r="I4769" s="637"/>
      <c r="J4769" s="637"/>
    </row>
    <row r="4770" spans="1:10" x14ac:dyDescent="0.2">
      <c r="A4770" s="626"/>
      <c r="B4770" s="637"/>
      <c r="C4770" s="637"/>
      <c r="D4770" s="637"/>
      <c r="E4770" s="637"/>
      <c r="F4770" s="637"/>
      <c r="G4770" s="637"/>
      <c r="H4770" s="637"/>
      <c r="I4770" s="637"/>
      <c r="J4770" s="637"/>
    </row>
    <row r="4771" spans="1:10" x14ac:dyDescent="0.2">
      <c r="A4771" s="626"/>
      <c r="B4771" s="637"/>
      <c r="C4771" s="637"/>
      <c r="D4771" s="637"/>
      <c r="E4771" s="637"/>
      <c r="F4771" s="637"/>
      <c r="G4771" s="637"/>
      <c r="H4771" s="637"/>
      <c r="I4771" s="637"/>
      <c r="J4771" s="637"/>
    </row>
    <row r="4772" spans="1:10" x14ac:dyDescent="0.2">
      <c r="A4772" s="626"/>
      <c r="B4772" s="637"/>
      <c r="C4772" s="637"/>
      <c r="D4772" s="637"/>
      <c r="E4772" s="637"/>
      <c r="F4772" s="637"/>
      <c r="G4772" s="637"/>
      <c r="H4772" s="637"/>
      <c r="I4772" s="637"/>
      <c r="J4772" s="637"/>
    </row>
    <row r="4773" spans="1:10" x14ac:dyDescent="0.2">
      <c r="A4773" s="626"/>
      <c r="B4773" s="637"/>
      <c r="C4773" s="637"/>
      <c r="D4773" s="637"/>
      <c r="E4773" s="637"/>
      <c r="F4773" s="637"/>
      <c r="G4773" s="637"/>
      <c r="H4773" s="637"/>
      <c r="I4773" s="637"/>
      <c r="J4773" s="637"/>
    </row>
    <row r="4774" spans="1:10" x14ac:dyDescent="0.2">
      <c r="A4774" s="626"/>
      <c r="B4774" s="637"/>
      <c r="C4774" s="637"/>
      <c r="D4774" s="637"/>
      <c r="E4774" s="637"/>
      <c r="F4774" s="637"/>
      <c r="G4774" s="637"/>
      <c r="H4774" s="637"/>
      <c r="I4774" s="637"/>
      <c r="J4774" s="637"/>
    </row>
    <row r="4775" spans="1:10" x14ac:dyDescent="0.2">
      <c r="A4775" s="626"/>
      <c r="B4775" s="637"/>
      <c r="C4775" s="637"/>
      <c r="D4775" s="637"/>
      <c r="E4775" s="637"/>
      <c r="F4775" s="637"/>
      <c r="G4775" s="637"/>
      <c r="H4775" s="637"/>
      <c r="I4775" s="637"/>
      <c r="J4775" s="637"/>
    </row>
    <row r="4776" spans="1:10" x14ac:dyDescent="0.2">
      <c r="A4776" s="626"/>
      <c r="B4776" s="637"/>
      <c r="C4776" s="637"/>
      <c r="D4776" s="637"/>
      <c r="E4776" s="637"/>
      <c r="F4776" s="637"/>
      <c r="G4776" s="637"/>
      <c r="H4776" s="637"/>
      <c r="I4776" s="637"/>
      <c r="J4776" s="637"/>
    </row>
    <row r="4777" spans="1:10" x14ac:dyDescent="0.2">
      <c r="A4777" s="626"/>
      <c r="B4777" s="637"/>
      <c r="C4777" s="637"/>
      <c r="D4777" s="637"/>
      <c r="E4777" s="637"/>
      <c r="F4777" s="637"/>
      <c r="G4777" s="637"/>
      <c r="H4777" s="637"/>
      <c r="I4777" s="637"/>
      <c r="J4777" s="637"/>
    </row>
    <row r="4778" spans="1:10" x14ac:dyDescent="0.2">
      <c r="A4778" s="626"/>
      <c r="B4778" s="637"/>
      <c r="C4778" s="637"/>
      <c r="D4778" s="637"/>
      <c r="E4778" s="637"/>
      <c r="F4778" s="637"/>
      <c r="G4778" s="637"/>
      <c r="H4778" s="637"/>
      <c r="I4778" s="637"/>
      <c r="J4778" s="637"/>
    </row>
    <row r="4779" spans="1:10" x14ac:dyDescent="0.2">
      <c r="A4779" s="626"/>
      <c r="B4779" s="637"/>
      <c r="C4779" s="637"/>
      <c r="D4779" s="637"/>
      <c r="E4779" s="637"/>
      <c r="F4779" s="637"/>
      <c r="G4779" s="637"/>
      <c r="H4779" s="637"/>
      <c r="I4779" s="637"/>
      <c r="J4779" s="637"/>
    </row>
    <row r="4780" spans="1:10" x14ac:dyDescent="0.2">
      <c r="A4780" s="626"/>
      <c r="B4780" s="637"/>
      <c r="C4780" s="637"/>
      <c r="D4780" s="637"/>
      <c r="E4780" s="637"/>
      <c r="F4780" s="637"/>
      <c r="G4780" s="637"/>
      <c r="H4780" s="637"/>
      <c r="I4780" s="637"/>
      <c r="J4780" s="637"/>
    </row>
    <row r="4781" spans="1:10" x14ac:dyDescent="0.2">
      <c r="A4781" s="626"/>
      <c r="B4781" s="637"/>
      <c r="C4781" s="637"/>
      <c r="D4781" s="637"/>
      <c r="E4781" s="637"/>
      <c r="F4781" s="637"/>
      <c r="G4781" s="637"/>
      <c r="H4781" s="637"/>
      <c r="I4781" s="637"/>
      <c r="J4781" s="637"/>
    </row>
    <row r="4782" spans="1:10" x14ac:dyDescent="0.2">
      <c r="A4782" s="626"/>
      <c r="B4782" s="637"/>
      <c r="C4782" s="637"/>
      <c r="D4782" s="637"/>
      <c r="E4782" s="637"/>
      <c r="F4782" s="637"/>
      <c r="G4782" s="637"/>
      <c r="H4782" s="637"/>
      <c r="I4782" s="637"/>
      <c r="J4782" s="637"/>
    </row>
    <row r="4783" spans="1:10" x14ac:dyDescent="0.2">
      <c r="A4783" s="626"/>
      <c r="B4783" s="637"/>
      <c r="C4783" s="637"/>
      <c r="D4783" s="637"/>
      <c r="E4783" s="637"/>
      <c r="F4783" s="637"/>
      <c r="G4783" s="637"/>
      <c r="H4783" s="637"/>
      <c r="I4783" s="637"/>
      <c r="J4783" s="637"/>
    </row>
    <row r="4784" spans="1:10" x14ac:dyDescent="0.2">
      <c r="A4784" s="626"/>
      <c r="B4784" s="637"/>
      <c r="C4784" s="637"/>
      <c r="D4784" s="637"/>
      <c r="E4784" s="637"/>
      <c r="F4784" s="637"/>
      <c r="G4784" s="637"/>
      <c r="H4784" s="637"/>
      <c r="I4784" s="637"/>
      <c r="J4784" s="637"/>
    </row>
    <row r="4785" spans="1:10" x14ac:dyDescent="0.2">
      <c r="A4785" s="626"/>
      <c r="B4785" s="637"/>
      <c r="C4785" s="637"/>
      <c r="D4785" s="637"/>
      <c r="E4785" s="637"/>
      <c r="F4785" s="637"/>
      <c r="G4785" s="637"/>
      <c r="H4785" s="637"/>
      <c r="I4785" s="637"/>
      <c r="J4785" s="637"/>
    </row>
    <row r="4786" spans="1:10" x14ac:dyDescent="0.2">
      <c r="A4786" s="626"/>
      <c r="B4786" s="637"/>
      <c r="C4786" s="637"/>
      <c r="D4786" s="637"/>
      <c r="E4786" s="637"/>
      <c r="F4786" s="637"/>
      <c r="G4786" s="637"/>
      <c r="H4786" s="637"/>
      <c r="I4786" s="637"/>
      <c r="J4786" s="637"/>
    </row>
    <row r="4787" spans="1:10" x14ac:dyDescent="0.2">
      <c r="A4787" s="626"/>
      <c r="B4787" s="637"/>
      <c r="C4787" s="637"/>
      <c r="D4787" s="637"/>
      <c r="E4787" s="637"/>
      <c r="F4787" s="637"/>
      <c r="G4787" s="637"/>
      <c r="H4787" s="637"/>
      <c r="I4787" s="637"/>
      <c r="J4787" s="637"/>
    </row>
    <row r="4788" spans="1:10" x14ac:dyDescent="0.2">
      <c r="A4788" s="626"/>
      <c r="B4788" s="637"/>
      <c r="C4788" s="637"/>
      <c r="D4788" s="637"/>
      <c r="E4788" s="637"/>
      <c r="F4788" s="637"/>
      <c r="G4788" s="637"/>
      <c r="H4788" s="637"/>
      <c r="I4788" s="637"/>
      <c r="J4788" s="637"/>
    </row>
    <row r="4789" spans="1:10" x14ac:dyDescent="0.2">
      <c r="A4789" s="626"/>
      <c r="B4789" s="637"/>
      <c r="C4789" s="637"/>
      <c r="D4789" s="637"/>
      <c r="E4789" s="637"/>
      <c r="F4789" s="637"/>
      <c r="G4789" s="637"/>
      <c r="H4789" s="637"/>
      <c r="I4789" s="637"/>
      <c r="J4789" s="637"/>
    </row>
    <row r="4790" spans="1:10" x14ac:dyDescent="0.2">
      <c r="A4790" s="626"/>
      <c r="B4790" s="637"/>
      <c r="C4790" s="637"/>
      <c r="D4790" s="637"/>
      <c r="E4790" s="637"/>
      <c r="F4790" s="637"/>
      <c r="G4790" s="637"/>
      <c r="H4790" s="637"/>
      <c r="I4790" s="637"/>
      <c r="J4790" s="637"/>
    </row>
    <row r="4791" spans="1:10" x14ac:dyDescent="0.2">
      <c r="A4791" s="626"/>
      <c r="B4791" s="637"/>
      <c r="C4791" s="637"/>
      <c r="D4791" s="637"/>
      <c r="E4791" s="637"/>
      <c r="F4791" s="637"/>
      <c r="G4791" s="637"/>
      <c r="H4791" s="637"/>
      <c r="I4791" s="637"/>
      <c r="J4791" s="637"/>
    </row>
    <row r="4792" spans="1:10" x14ac:dyDescent="0.2">
      <c r="A4792" s="626"/>
      <c r="B4792" s="637"/>
      <c r="C4792" s="637"/>
      <c r="D4792" s="637"/>
      <c r="E4792" s="637"/>
      <c r="F4792" s="637"/>
      <c r="G4792" s="637"/>
      <c r="H4792" s="637"/>
      <c r="I4792" s="637"/>
      <c r="J4792" s="637"/>
    </row>
    <row r="4793" spans="1:10" x14ac:dyDescent="0.2">
      <c r="A4793" s="626"/>
      <c r="B4793" s="637"/>
      <c r="C4793" s="637"/>
      <c r="D4793" s="637"/>
      <c r="E4793" s="637"/>
      <c r="F4793" s="637"/>
      <c r="G4793" s="637"/>
      <c r="H4793" s="637"/>
      <c r="I4793" s="637"/>
      <c r="J4793" s="637"/>
    </row>
    <row r="4794" spans="1:10" x14ac:dyDescent="0.2">
      <c r="A4794" s="626"/>
      <c r="B4794" s="637"/>
      <c r="C4794" s="637"/>
      <c r="D4794" s="637"/>
      <c r="E4794" s="637"/>
      <c r="F4794" s="637"/>
      <c r="G4794" s="637"/>
      <c r="H4794" s="637"/>
      <c r="I4794" s="637"/>
      <c r="J4794" s="637"/>
    </row>
    <row r="4795" spans="1:10" x14ac:dyDescent="0.2">
      <c r="A4795" s="626"/>
      <c r="B4795" s="637"/>
      <c r="C4795" s="637"/>
      <c r="D4795" s="637"/>
      <c r="E4795" s="637"/>
      <c r="F4795" s="637"/>
      <c r="G4795" s="637"/>
      <c r="H4795" s="637"/>
      <c r="I4795" s="637"/>
      <c r="J4795" s="637"/>
    </row>
    <row r="4796" spans="1:10" x14ac:dyDescent="0.2">
      <c r="A4796" s="626"/>
      <c r="B4796" s="637"/>
      <c r="C4796" s="637"/>
      <c r="D4796" s="637"/>
      <c r="E4796" s="637"/>
      <c r="F4796" s="637"/>
      <c r="G4796" s="637"/>
      <c r="H4796" s="637"/>
      <c r="I4796" s="637"/>
      <c r="J4796" s="637"/>
    </row>
    <row r="4797" spans="1:10" x14ac:dyDescent="0.2">
      <c r="A4797" s="626"/>
      <c r="B4797" s="637"/>
      <c r="C4797" s="637"/>
      <c r="D4797" s="637"/>
      <c r="E4797" s="637"/>
      <c r="F4797" s="637"/>
      <c r="G4797" s="637"/>
      <c r="H4797" s="637"/>
      <c r="I4797" s="637"/>
      <c r="J4797" s="637"/>
    </row>
    <row r="4798" spans="1:10" x14ac:dyDescent="0.2">
      <c r="A4798" s="626"/>
      <c r="B4798" s="637"/>
      <c r="C4798" s="637"/>
      <c r="D4798" s="637"/>
      <c r="E4798" s="637"/>
      <c r="F4798" s="637"/>
      <c r="G4798" s="637"/>
      <c r="H4798" s="637"/>
      <c r="I4798" s="637"/>
      <c r="J4798" s="637"/>
    </row>
    <row r="4799" spans="1:10" x14ac:dyDescent="0.2">
      <c r="A4799" s="626"/>
      <c r="B4799" s="637"/>
      <c r="C4799" s="637"/>
      <c r="D4799" s="637"/>
      <c r="E4799" s="637"/>
      <c r="F4799" s="637"/>
      <c r="G4799" s="637"/>
      <c r="H4799" s="637"/>
      <c r="I4799" s="637"/>
      <c r="J4799" s="637"/>
    </row>
    <row r="4800" spans="1:10" x14ac:dyDescent="0.2">
      <c r="A4800" s="626"/>
      <c r="B4800" s="637"/>
      <c r="C4800" s="637"/>
      <c r="D4800" s="637"/>
      <c r="E4800" s="637"/>
      <c r="F4800" s="637"/>
      <c r="G4800" s="637"/>
      <c r="H4800" s="637"/>
      <c r="I4800" s="637"/>
      <c r="J4800" s="637"/>
    </row>
    <row r="4801" spans="1:10" x14ac:dyDescent="0.2">
      <c r="A4801" s="626"/>
      <c r="B4801" s="637"/>
      <c r="C4801" s="637"/>
      <c r="D4801" s="637"/>
      <c r="E4801" s="637"/>
      <c r="F4801" s="637"/>
      <c r="G4801" s="637"/>
      <c r="H4801" s="637"/>
      <c r="I4801" s="637"/>
      <c r="J4801" s="637"/>
    </row>
    <row r="4802" spans="1:10" x14ac:dyDescent="0.2">
      <c r="A4802" s="626"/>
      <c r="B4802" s="637"/>
      <c r="C4802" s="637"/>
      <c r="D4802" s="637"/>
      <c r="E4802" s="637"/>
      <c r="F4802" s="637"/>
      <c r="G4802" s="637"/>
      <c r="H4802" s="637"/>
      <c r="I4802" s="637"/>
      <c r="J4802" s="637"/>
    </row>
    <row r="4803" spans="1:10" x14ac:dyDescent="0.2">
      <c r="A4803" s="626"/>
      <c r="B4803" s="637"/>
      <c r="C4803" s="637"/>
      <c r="D4803" s="637"/>
      <c r="E4803" s="637"/>
      <c r="F4803" s="637"/>
      <c r="G4803" s="637"/>
      <c r="H4803" s="637"/>
      <c r="I4803" s="637"/>
      <c r="J4803" s="637"/>
    </row>
    <row r="4804" spans="1:10" x14ac:dyDescent="0.2">
      <c r="A4804" s="626"/>
      <c r="B4804" s="637"/>
      <c r="C4804" s="637"/>
      <c r="D4804" s="637"/>
      <c r="E4804" s="637"/>
      <c r="F4804" s="637"/>
      <c r="G4804" s="637"/>
      <c r="H4804" s="637"/>
      <c r="I4804" s="637"/>
      <c r="J4804" s="637"/>
    </row>
    <row r="4805" spans="1:10" x14ac:dyDescent="0.2">
      <c r="A4805" s="626"/>
      <c r="B4805" s="637"/>
      <c r="C4805" s="637"/>
      <c r="D4805" s="637"/>
      <c r="E4805" s="637"/>
      <c r="F4805" s="637"/>
      <c r="G4805" s="637"/>
      <c r="H4805" s="637"/>
      <c r="I4805" s="637"/>
      <c r="J4805" s="637"/>
    </row>
    <row r="4806" spans="1:10" x14ac:dyDescent="0.2">
      <c r="A4806" s="626"/>
      <c r="B4806" s="637"/>
      <c r="C4806" s="637"/>
      <c r="D4806" s="637"/>
      <c r="E4806" s="637"/>
      <c r="F4806" s="637"/>
      <c r="G4806" s="637"/>
      <c r="H4806" s="637"/>
      <c r="I4806" s="637"/>
      <c r="J4806" s="637"/>
    </row>
    <row r="4807" spans="1:10" x14ac:dyDescent="0.2">
      <c r="A4807" s="626"/>
      <c r="B4807" s="637"/>
      <c r="C4807" s="637"/>
      <c r="D4807" s="637"/>
      <c r="E4807" s="637"/>
      <c r="F4807" s="637"/>
      <c r="G4807" s="637"/>
      <c r="H4807" s="637"/>
      <c r="I4807" s="637"/>
      <c r="J4807" s="637"/>
    </row>
    <row r="4808" spans="1:10" x14ac:dyDescent="0.2">
      <c r="A4808" s="626"/>
      <c r="B4808" s="637"/>
      <c r="C4808" s="637"/>
      <c r="D4808" s="637"/>
      <c r="E4808" s="637"/>
      <c r="F4808" s="637"/>
      <c r="G4808" s="637"/>
      <c r="H4808" s="637"/>
      <c r="I4808" s="637"/>
      <c r="J4808" s="637"/>
    </row>
    <row r="4809" spans="1:10" x14ac:dyDescent="0.2">
      <c r="A4809" s="626"/>
      <c r="B4809" s="637"/>
      <c r="C4809" s="637"/>
      <c r="D4809" s="637"/>
      <c r="E4809" s="637"/>
      <c r="F4809" s="637"/>
      <c r="G4809" s="637"/>
      <c r="H4809" s="637"/>
      <c r="I4809" s="637"/>
      <c r="J4809" s="637"/>
    </row>
    <row r="4810" spans="1:10" x14ac:dyDescent="0.2">
      <c r="A4810" s="626"/>
      <c r="B4810" s="637"/>
      <c r="C4810" s="637"/>
      <c r="D4810" s="637"/>
      <c r="E4810" s="637"/>
      <c r="F4810" s="637"/>
      <c r="G4810" s="637"/>
      <c r="H4810" s="637"/>
      <c r="I4810" s="637"/>
      <c r="J4810" s="637"/>
    </row>
    <row r="4811" spans="1:10" x14ac:dyDescent="0.2">
      <c r="A4811" s="626"/>
      <c r="B4811" s="637"/>
      <c r="C4811" s="637"/>
      <c r="D4811" s="637"/>
      <c r="E4811" s="637"/>
      <c r="F4811" s="637"/>
      <c r="G4811" s="637"/>
      <c r="H4811" s="637"/>
      <c r="I4811" s="637"/>
      <c r="J4811" s="637"/>
    </row>
    <row r="4812" spans="1:10" x14ac:dyDescent="0.2">
      <c r="A4812" s="626"/>
      <c r="B4812" s="637"/>
      <c r="C4812" s="637"/>
      <c r="D4812" s="637"/>
      <c r="E4812" s="637"/>
      <c r="F4812" s="637"/>
      <c r="G4812" s="637"/>
      <c r="H4812" s="637"/>
      <c r="I4812" s="637"/>
      <c r="J4812" s="637"/>
    </row>
    <row r="4813" spans="1:10" x14ac:dyDescent="0.2">
      <c r="A4813" s="626"/>
      <c r="B4813" s="637"/>
      <c r="C4813" s="637"/>
      <c r="D4813" s="637"/>
      <c r="E4813" s="637"/>
      <c r="F4813" s="637"/>
      <c r="G4813" s="637"/>
      <c r="H4813" s="637"/>
      <c r="I4813" s="637"/>
      <c r="J4813" s="637"/>
    </row>
    <row r="4814" spans="1:10" x14ac:dyDescent="0.2">
      <c r="A4814" s="626"/>
      <c r="B4814" s="637"/>
      <c r="C4814" s="637"/>
      <c r="D4814" s="637"/>
      <c r="E4814" s="637"/>
      <c r="F4814" s="637"/>
      <c r="G4814" s="637"/>
      <c r="H4814" s="637"/>
      <c r="I4814" s="637"/>
      <c r="J4814" s="637"/>
    </row>
    <row r="4815" spans="1:10" x14ac:dyDescent="0.2">
      <c r="A4815" s="626"/>
      <c r="B4815" s="637"/>
      <c r="C4815" s="637"/>
      <c r="D4815" s="637"/>
      <c r="E4815" s="637"/>
      <c r="F4815" s="637"/>
      <c r="G4815" s="637"/>
      <c r="H4815" s="637"/>
      <c r="I4815" s="637"/>
      <c r="J4815" s="637"/>
    </row>
    <row r="4816" spans="1:10" x14ac:dyDescent="0.2">
      <c r="A4816" s="626"/>
      <c r="B4816" s="637"/>
      <c r="C4816" s="637"/>
      <c r="D4816" s="637"/>
      <c r="E4816" s="637"/>
      <c r="F4816" s="637"/>
      <c r="G4816" s="637"/>
      <c r="H4816" s="637"/>
      <c r="I4816" s="637"/>
      <c r="J4816" s="637"/>
    </row>
    <row r="4817" spans="1:10" x14ac:dyDescent="0.2">
      <c r="A4817" s="626"/>
      <c r="B4817" s="637"/>
      <c r="C4817" s="637"/>
      <c r="D4817" s="637"/>
      <c r="E4817" s="637"/>
      <c r="F4817" s="637"/>
      <c r="G4817" s="637"/>
      <c r="H4817" s="637"/>
      <c r="I4817" s="637"/>
      <c r="J4817" s="637"/>
    </row>
    <row r="4818" spans="1:10" x14ac:dyDescent="0.2">
      <c r="A4818" s="626"/>
      <c r="B4818" s="637"/>
      <c r="C4818" s="637"/>
      <c r="D4818" s="637"/>
      <c r="E4818" s="637"/>
      <c r="F4818" s="637"/>
      <c r="G4818" s="637"/>
      <c r="H4818" s="637"/>
      <c r="I4818" s="637"/>
      <c r="J4818" s="637"/>
    </row>
    <row r="4819" spans="1:10" x14ac:dyDescent="0.2">
      <c r="A4819" s="626"/>
      <c r="B4819" s="637"/>
      <c r="C4819" s="637"/>
      <c r="D4819" s="637"/>
      <c r="E4819" s="637"/>
      <c r="F4819" s="637"/>
      <c r="G4819" s="637"/>
      <c r="H4819" s="637"/>
      <c r="I4819" s="637"/>
      <c r="J4819" s="637"/>
    </row>
    <row r="4820" spans="1:10" x14ac:dyDescent="0.2">
      <c r="A4820" s="626"/>
      <c r="B4820" s="637"/>
      <c r="C4820" s="637"/>
      <c r="D4820" s="637"/>
      <c r="E4820" s="637"/>
      <c r="F4820" s="637"/>
      <c r="G4820" s="637"/>
      <c r="H4820" s="637"/>
      <c r="I4820" s="637"/>
      <c r="J4820" s="637"/>
    </row>
    <row r="4821" spans="1:10" x14ac:dyDescent="0.2">
      <c r="A4821" s="626"/>
      <c r="B4821" s="637"/>
      <c r="C4821" s="637"/>
      <c r="D4821" s="637"/>
      <c r="E4821" s="637"/>
      <c r="F4821" s="637"/>
      <c r="G4821" s="637"/>
      <c r="H4821" s="637"/>
      <c r="I4821" s="637"/>
      <c r="J4821" s="637"/>
    </row>
    <row r="4822" spans="1:10" x14ac:dyDescent="0.2">
      <c r="A4822" s="626"/>
      <c r="B4822" s="637"/>
      <c r="C4822" s="637"/>
      <c r="D4822" s="637"/>
      <c r="E4822" s="637"/>
      <c r="F4822" s="637"/>
      <c r="G4822" s="637"/>
      <c r="H4822" s="637"/>
      <c r="I4822" s="637"/>
      <c r="J4822" s="637"/>
    </row>
    <row r="4823" spans="1:10" x14ac:dyDescent="0.2">
      <c r="A4823" s="626"/>
      <c r="B4823" s="637"/>
      <c r="C4823" s="637"/>
      <c r="D4823" s="637"/>
      <c r="E4823" s="637"/>
      <c r="F4823" s="637"/>
      <c r="G4823" s="637"/>
      <c r="H4823" s="637"/>
      <c r="I4823" s="637"/>
      <c r="J4823" s="637"/>
    </row>
    <row r="4824" spans="1:10" x14ac:dyDescent="0.2">
      <c r="A4824" s="626"/>
      <c r="B4824" s="637"/>
      <c r="C4824" s="637"/>
      <c r="D4824" s="637"/>
      <c r="E4824" s="637"/>
      <c r="F4824" s="637"/>
      <c r="G4824" s="637"/>
      <c r="H4824" s="637"/>
      <c r="I4824" s="637"/>
      <c r="J4824" s="637"/>
    </row>
    <row r="4825" spans="1:10" x14ac:dyDescent="0.2">
      <c r="A4825" s="626"/>
      <c r="B4825" s="637"/>
      <c r="C4825" s="637"/>
      <c r="D4825" s="637"/>
      <c r="E4825" s="637"/>
      <c r="F4825" s="637"/>
      <c r="G4825" s="637"/>
      <c r="H4825" s="637"/>
      <c r="I4825" s="637"/>
      <c r="J4825" s="637"/>
    </row>
    <row r="4826" spans="1:10" x14ac:dyDescent="0.2">
      <c r="A4826" s="626"/>
      <c r="B4826" s="637"/>
      <c r="C4826" s="637"/>
      <c r="D4826" s="637"/>
      <c r="E4826" s="637"/>
      <c r="F4826" s="637"/>
      <c r="G4826" s="637"/>
      <c r="H4826" s="637"/>
      <c r="I4826" s="637"/>
      <c r="J4826" s="637"/>
    </row>
    <row r="4827" spans="1:10" x14ac:dyDescent="0.2">
      <c r="A4827" s="626"/>
      <c r="B4827" s="637"/>
      <c r="C4827" s="637"/>
      <c r="D4827" s="637"/>
      <c r="E4827" s="637"/>
      <c r="F4827" s="637"/>
      <c r="G4827" s="637"/>
      <c r="H4827" s="637"/>
      <c r="I4827" s="637"/>
      <c r="J4827" s="637"/>
    </row>
    <row r="4828" spans="1:10" x14ac:dyDescent="0.2">
      <c r="A4828" s="626"/>
      <c r="B4828" s="637"/>
      <c r="C4828" s="637"/>
      <c r="D4828" s="637"/>
      <c r="E4828" s="637"/>
      <c r="F4828" s="637"/>
      <c r="G4828" s="637"/>
      <c r="H4828" s="637"/>
      <c r="I4828" s="637"/>
      <c r="J4828" s="637"/>
    </row>
    <row r="4829" spans="1:10" x14ac:dyDescent="0.2">
      <c r="A4829" s="626"/>
      <c r="B4829" s="637"/>
      <c r="C4829" s="637"/>
      <c r="D4829" s="637"/>
      <c r="E4829" s="637"/>
      <c r="F4829" s="637"/>
      <c r="G4829" s="637"/>
      <c r="H4829" s="637"/>
      <c r="I4829" s="637"/>
      <c r="J4829" s="637"/>
    </row>
    <row r="4830" spans="1:10" x14ac:dyDescent="0.2">
      <c r="A4830" s="626"/>
      <c r="B4830" s="637"/>
      <c r="C4830" s="637"/>
      <c r="D4830" s="637"/>
      <c r="E4830" s="637"/>
      <c r="F4830" s="637"/>
      <c r="G4830" s="637"/>
      <c r="H4830" s="637"/>
      <c r="I4830" s="637"/>
      <c r="J4830" s="637"/>
    </row>
    <row r="4831" spans="1:10" x14ac:dyDescent="0.2">
      <c r="A4831" s="626"/>
      <c r="B4831" s="637"/>
      <c r="C4831" s="637"/>
      <c r="D4831" s="637"/>
      <c r="E4831" s="637"/>
      <c r="F4831" s="637"/>
      <c r="G4831" s="637"/>
      <c r="H4831" s="637"/>
      <c r="I4831" s="637"/>
      <c r="J4831" s="637"/>
    </row>
    <row r="4832" spans="1:10" x14ac:dyDescent="0.2">
      <c r="A4832" s="626"/>
      <c r="B4832" s="637"/>
      <c r="C4832" s="637"/>
      <c r="D4832" s="637"/>
      <c r="E4832" s="637"/>
      <c r="F4832" s="637"/>
      <c r="G4832" s="637"/>
      <c r="H4832" s="637"/>
      <c r="I4832" s="637"/>
      <c r="J4832" s="637"/>
    </row>
    <row r="4833" spans="1:10" x14ac:dyDescent="0.2">
      <c r="A4833" s="626"/>
      <c r="B4833" s="637"/>
      <c r="C4833" s="637"/>
      <c r="D4833" s="637"/>
      <c r="E4833" s="637"/>
      <c r="F4833" s="637"/>
      <c r="G4833" s="637"/>
      <c r="H4833" s="637"/>
      <c r="I4833" s="637"/>
      <c r="J4833" s="637"/>
    </row>
    <row r="4834" spans="1:10" x14ac:dyDescent="0.2">
      <c r="A4834" s="626"/>
      <c r="B4834" s="637"/>
      <c r="C4834" s="637"/>
      <c r="D4834" s="637"/>
      <c r="E4834" s="637"/>
      <c r="F4834" s="637"/>
      <c r="G4834" s="637"/>
      <c r="H4834" s="637"/>
      <c r="I4834" s="637"/>
      <c r="J4834" s="637"/>
    </row>
    <row r="4835" spans="1:10" x14ac:dyDescent="0.2">
      <c r="A4835" s="626"/>
      <c r="B4835" s="637"/>
      <c r="C4835" s="637"/>
      <c r="D4835" s="637"/>
      <c r="E4835" s="637"/>
      <c r="F4835" s="637"/>
      <c r="G4835" s="637"/>
      <c r="H4835" s="637"/>
      <c r="I4835" s="637"/>
      <c r="J4835" s="637"/>
    </row>
    <row r="4836" spans="1:10" x14ac:dyDescent="0.2">
      <c r="A4836" s="626"/>
      <c r="B4836" s="637"/>
      <c r="C4836" s="637"/>
      <c r="D4836" s="637"/>
      <c r="E4836" s="637"/>
      <c r="F4836" s="637"/>
      <c r="G4836" s="637"/>
      <c r="H4836" s="637"/>
      <c r="I4836" s="637"/>
      <c r="J4836" s="637"/>
    </row>
    <row r="4837" spans="1:10" x14ac:dyDescent="0.2">
      <c r="A4837" s="626"/>
      <c r="B4837" s="637"/>
      <c r="C4837" s="637"/>
      <c r="D4837" s="637"/>
      <c r="E4837" s="637"/>
      <c r="F4837" s="637"/>
      <c r="G4837" s="637"/>
      <c r="H4837" s="637"/>
      <c r="I4837" s="637"/>
      <c r="J4837" s="637"/>
    </row>
    <row r="4838" spans="1:10" x14ac:dyDescent="0.2">
      <c r="A4838" s="626"/>
      <c r="B4838" s="637"/>
      <c r="C4838" s="637"/>
      <c r="D4838" s="637"/>
      <c r="E4838" s="637"/>
      <c r="F4838" s="637"/>
      <c r="G4838" s="637"/>
      <c r="H4838" s="637"/>
      <c r="I4838" s="637"/>
      <c r="J4838" s="637"/>
    </row>
    <row r="4839" spans="1:10" x14ac:dyDescent="0.2">
      <c r="A4839" s="626"/>
      <c r="B4839" s="637"/>
      <c r="C4839" s="637"/>
      <c r="D4839" s="637"/>
      <c r="E4839" s="637"/>
      <c r="F4839" s="637"/>
      <c r="G4839" s="637"/>
      <c r="H4839" s="637"/>
      <c r="I4839" s="637"/>
      <c r="J4839" s="637"/>
    </row>
    <row r="4840" spans="1:10" x14ac:dyDescent="0.2">
      <c r="A4840" s="626"/>
      <c r="B4840" s="637"/>
      <c r="C4840" s="637"/>
      <c r="D4840" s="637"/>
      <c r="E4840" s="637"/>
      <c r="F4840" s="637"/>
      <c r="G4840" s="637"/>
      <c r="H4840" s="637"/>
      <c r="I4840" s="637"/>
      <c r="J4840" s="637"/>
    </row>
    <row r="4841" spans="1:10" x14ac:dyDescent="0.2">
      <c r="A4841" s="626"/>
      <c r="B4841" s="637"/>
      <c r="C4841" s="637"/>
      <c r="D4841" s="637"/>
      <c r="E4841" s="637"/>
      <c r="F4841" s="637"/>
      <c r="G4841" s="637"/>
      <c r="H4841" s="637"/>
      <c r="I4841" s="637"/>
      <c r="J4841" s="637"/>
    </row>
    <row r="4842" spans="1:10" x14ac:dyDescent="0.2">
      <c r="A4842" s="626"/>
      <c r="B4842" s="637"/>
      <c r="C4842" s="637"/>
      <c r="D4842" s="637"/>
      <c r="E4842" s="637"/>
      <c r="F4842" s="637"/>
      <c r="G4842" s="637"/>
      <c r="H4842" s="637"/>
      <c r="I4842" s="637"/>
      <c r="J4842" s="637"/>
    </row>
    <row r="4843" spans="1:10" x14ac:dyDescent="0.2">
      <c r="A4843" s="626"/>
      <c r="B4843" s="637"/>
      <c r="C4843" s="637"/>
      <c r="D4843" s="637"/>
      <c r="E4843" s="637"/>
      <c r="F4843" s="637"/>
      <c r="G4843" s="637"/>
      <c r="H4843" s="637"/>
      <c r="I4843" s="637"/>
      <c r="J4843" s="637"/>
    </row>
    <row r="4844" spans="1:10" x14ac:dyDescent="0.2">
      <c r="A4844" s="626"/>
      <c r="B4844" s="637"/>
      <c r="C4844" s="637"/>
      <c r="D4844" s="637"/>
      <c r="E4844" s="637"/>
      <c r="F4844" s="637"/>
      <c r="G4844" s="637"/>
      <c r="H4844" s="637"/>
      <c r="I4844" s="637"/>
      <c r="J4844" s="637"/>
    </row>
    <row r="4845" spans="1:10" x14ac:dyDescent="0.2">
      <c r="A4845" s="626"/>
      <c r="B4845" s="637"/>
      <c r="C4845" s="637"/>
      <c r="D4845" s="637"/>
      <c r="E4845" s="637"/>
      <c r="F4845" s="637"/>
      <c r="G4845" s="637"/>
      <c r="H4845" s="637"/>
      <c r="I4845" s="637"/>
      <c r="J4845" s="637"/>
    </row>
    <row r="4846" spans="1:10" x14ac:dyDescent="0.2">
      <c r="A4846" s="626"/>
      <c r="B4846" s="637"/>
      <c r="C4846" s="637"/>
      <c r="D4846" s="637"/>
      <c r="E4846" s="637"/>
      <c r="F4846" s="637"/>
      <c r="G4846" s="637"/>
      <c r="H4846" s="637"/>
      <c r="I4846" s="637"/>
      <c r="J4846" s="637"/>
    </row>
    <row r="4847" spans="1:10" x14ac:dyDescent="0.2">
      <c r="A4847" s="626"/>
      <c r="B4847" s="637"/>
      <c r="C4847" s="637"/>
      <c r="D4847" s="637"/>
      <c r="E4847" s="637"/>
      <c r="F4847" s="637"/>
      <c r="G4847" s="637"/>
      <c r="H4847" s="637"/>
      <c r="I4847" s="637"/>
      <c r="J4847" s="637"/>
    </row>
    <row r="4848" spans="1:10" x14ac:dyDescent="0.2">
      <c r="A4848" s="626"/>
      <c r="B4848" s="637"/>
      <c r="C4848" s="637"/>
      <c r="D4848" s="637"/>
      <c r="E4848" s="637"/>
      <c r="F4848" s="637"/>
      <c r="G4848" s="637"/>
      <c r="H4848" s="637"/>
      <c r="I4848" s="637"/>
      <c r="J4848" s="637"/>
    </row>
    <row r="4849" spans="1:10" x14ac:dyDescent="0.2">
      <c r="A4849" s="626"/>
      <c r="B4849" s="637"/>
      <c r="C4849" s="637"/>
      <c r="D4849" s="637"/>
      <c r="E4849" s="637"/>
      <c r="F4849" s="637"/>
      <c r="G4849" s="637"/>
      <c r="H4849" s="637"/>
      <c r="I4849" s="637"/>
      <c r="J4849" s="637"/>
    </row>
    <row r="4850" spans="1:10" x14ac:dyDescent="0.2">
      <c r="A4850" s="626"/>
      <c r="B4850" s="637"/>
      <c r="C4850" s="637"/>
      <c r="D4850" s="637"/>
      <c r="E4850" s="637"/>
      <c r="F4850" s="637"/>
      <c r="G4850" s="637"/>
      <c r="H4850" s="637"/>
      <c r="I4850" s="637"/>
      <c r="J4850" s="637"/>
    </row>
    <row r="4851" spans="1:10" x14ac:dyDescent="0.2">
      <c r="A4851" s="626"/>
      <c r="B4851" s="637"/>
      <c r="C4851" s="637"/>
      <c r="D4851" s="637"/>
      <c r="E4851" s="637"/>
      <c r="F4851" s="637"/>
      <c r="G4851" s="637"/>
      <c r="H4851" s="637"/>
      <c r="I4851" s="637"/>
      <c r="J4851" s="637"/>
    </row>
    <row r="4852" spans="1:10" x14ac:dyDescent="0.2">
      <c r="A4852" s="626"/>
      <c r="B4852" s="637"/>
      <c r="C4852" s="637"/>
      <c r="D4852" s="637"/>
      <c r="E4852" s="637"/>
      <c r="F4852" s="637"/>
      <c r="G4852" s="637"/>
      <c r="H4852" s="637"/>
      <c r="I4852" s="637"/>
      <c r="J4852" s="637"/>
    </row>
    <row r="4853" spans="1:10" x14ac:dyDescent="0.2">
      <c r="A4853" s="626"/>
      <c r="B4853" s="637"/>
      <c r="C4853" s="637"/>
      <c r="D4853" s="637"/>
      <c r="E4853" s="637"/>
      <c r="F4853" s="637"/>
      <c r="G4853" s="637"/>
      <c r="H4853" s="637"/>
      <c r="I4853" s="637"/>
      <c r="J4853" s="637"/>
    </row>
    <row r="4854" spans="1:10" x14ac:dyDescent="0.2">
      <c r="A4854" s="626"/>
      <c r="B4854" s="637"/>
      <c r="C4854" s="637"/>
      <c r="D4854" s="637"/>
      <c r="E4854" s="637"/>
      <c r="F4854" s="637"/>
      <c r="G4854" s="637"/>
      <c r="H4854" s="637"/>
      <c r="I4854" s="637"/>
      <c r="J4854" s="637"/>
    </row>
    <row r="4855" spans="1:10" x14ac:dyDescent="0.2">
      <c r="A4855" s="626"/>
      <c r="B4855" s="637"/>
      <c r="C4855" s="637"/>
      <c r="D4855" s="637"/>
      <c r="E4855" s="637"/>
      <c r="F4855" s="637"/>
      <c r="G4855" s="637"/>
      <c r="H4855" s="637"/>
      <c r="I4855" s="637"/>
      <c r="J4855" s="637"/>
    </row>
    <row r="4856" spans="1:10" x14ac:dyDescent="0.2">
      <c r="A4856" s="626"/>
      <c r="B4856" s="637"/>
      <c r="C4856" s="637"/>
      <c r="D4856" s="637"/>
      <c r="E4856" s="637"/>
      <c r="F4856" s="637"/>
      <c r="G4856" s="637"/>
      <c r="H4856" s="637"/>
      <c r="I4856" s="637"/>
      <c r="J4856" s="637"/>
    </row>
    <row r="4857" spans="1:10" x14ac:dyDescent="0.2">
      <c r="A4857" s="626"/>
      <c r="B4857" s="637"/>
      <c r="C4857" s="637"/>
      <c r="D4857" s="637"/>
      <c r="E4857" s="637"/>
      <c r="F4857" s="637"/>
      <c r="G4857" s="637"/>
      <c r="H4857" s="637"/>
      <c r="I4857" s="637"/>
      <c r="J4857" s="637"/>
    </row>
    <row r="4858" spans="1:10" x14ac:dyDescent="0.2">
      <c r="A4858" s="626"/>
      <c r="B4858" s="637"/>
      <c r="C4858" s="637"/>
      <c r="D4858" s="637"/>
      <c r="E4858" s="637"/>
      <c r="F4858" s="637"/>
      <c r="G4858" s="637"/>
      <c r="H4858" s="637"/>
      <c r="I4858" s="637"/>
      <c r="J4858" s="637"/>
    </row>
    <row r="4859" spans="1:10" x14ac:dyDescent="0.2">
      <c r="A4859" s="626"/>
      <c r="B4859" s="637"/>
      <c r="C4859" s="637"/>
      <c r="D4859" s="637"/>
      <c r="E4859" s="637"/>
      <c r="F4859" s="637"/>
      <c r="G4859" s="637"/>
      <c r="H4859" s="637"/>
      <c r="I4859" s="637"/>
      <c r="J4859" s="637"/>
    </row>
    <row r="4860" spans="1:10" x14ac:dyDescent="0.2">
      <c r="A4860" s="626"/>
      <c r="B4860" s="637"/>
      <c r="C4860" s="637"/>
      <c r="D4860" s="637"/>
      <c r="E4860" s="637"/>
      <c r="F4860" s="637"/>
      <c r="G4860" s="637"/>
      <c r="H4860" s="637"/>
      <c r="I4860" s="637"/>
      <c r="J4860" s="637"/>
    </row>
    <row r="4861" spans="1:10" x14ac:dyDescent="0.2">
      <c r="A4861" s="626"/>
      <c r="B4861" s="637"/>
      <c r="C4861" s="637"/>
      <c r="D4861" s="637"/>
      <c r="E4861" s="637"/>
      <c r="F4861" s="637"/>
      <c r="G4861" s="637"/>
      <c r="H4861" s="637"/>
      <c r="I4861" s="637"/>
      <c r="J4861" s="637"/>
    </row>
    <row r="4862" spans="1:10" x14ac:dyDescent="0.2">
      <c r="A4862" s="626"/>
      <c r="B4862" s="637"/>
      <c r="C4862" s="637"/>
      <c r="D4862" s="637"/>
      <c r="E4862" s="637"/>
      <c r="F4862" s="637"/>
      <c r="G4862" s="637"/>
      <c r="H4862" s="637"/>
      <c r="I4862" s="637"/>
      <c r="J4862" s="637"/>
    </row>
    <row r="4863" spans="1:10" x14ac:dyDescent="0.2">
      <c r="A4863" s="626"/>
      <c r="B4863" s="637"/>
      <c r="C4863" s="637"/>
      <c r="D4863" s="637"/>
      <c r="E4863" s="637"/>
      <c r="F4863" s="637"/>
      <c r="G4863" s="637"/>
      <c r="H4863" s="637"/>
      <c r="I4863" s="637"/>
      <c r="J4863" s="637"/>
    </row>
    <row r="4864" spans="1:10" x14ac:dyDescent="0.2">
      <c r="A4864" s="626"/>
      <c r="B4864" s="637"/>
      <c r="C4864" s="637"/>
      <c r="D4864" s="637"/>
      <c r="E4864" s="637"/>
      <c r="F4864" s="637"/>
      <c r="G4864" s="637"/>
      <c r="H4864" s="637"/>
      <c r="I4864" s="637"/>
      <c r="J4864" s="637"/>
    </row>
    <row r="4865" spans="1:10" x14ac:dyDescent="0.2">
      <c r="A4865" s="626"/>
      <c r="B4865" s="637"/>
      <c r="C4865" s="637"/>
      <c r="D4865" s="637"/>
      <c r="E4865" s="637"/>
      <c r="F4865" s="637"/>
      <c r="G4865" s="637"/>
      <c r="H4865" s="637"/>
      <c r="I4865" s="637"/>
      <c r="J4865" s="637"/>
    </row>
    <row r="4866" spans="1:10" x14ac:dyDescent="0.2">
      <c r="A4866" s="626"/>
      <c r="B4866" s="637"/>
      <c r="C4866" s="637"/>
      <c r="D4866" s="637"/>
      <c r="E4866" s="637"/>
      <c r="F4866" s="637"/>
      <c r="G4866" s="637"/>
      <c r="H4866" s="637"/>
      <c r="I4866" s="637"/>
      <c r="J4866" s="637"/>
    </row>
    <row r="4867" spans="1:10" x14ac:dyDescent="0.2">
      <c r="A4867" s="626"/>
      <c r="B4867" s="637"/>
      <c r="C4867" s="637"/>
      <c r="D4867" s="637"/>
      <c r="E4867" s="637"/>
      <c r="F4867" s="637"/>
      <c r="G4867" s="637"/>
      <c r="H4867" s="637"/>
      <c r="I4867" s="637"/>
      <c r="J4867" s="637"/>
    </row>
    <row r="4868" spans="1:10" x14ac:dyDescent="0.2">
      <c r="A4868" s="626"/>
      <c r="B4868" s="637"/>
      <c r="C4868" s="637"/>
      <c r="D4868" s="637"/>
      <c r="E4868" s="637"/>
      <c r="F4868" s="637"/>
      <c r="G4868" s="637"/>
      <c r="H4868" s="637"/>
      <c r="I4868" s="637"/>
      <c r="J4868" s="637"/>
    </row>
    <row r="4869" spans="1:10" x14ac:dyDescent="0.2">
      <c r="A4869" s="626"/>
      <c r="B4869" s="637"/>
      <c r="C4869" s="637"/>
      <c r="D4869" s="637"/>
      <c r="E4869" s="637"/>
      <c r="F4869" s="637"/>
      <c r="G4869" s="637"/>
      <c r="H4869" s="637"/>
      <c r="I4869" s="637"/>
      <c r="J4869" s="637"/>
    </row>
    <row r="4870" spans="1:10" x14ac:dyDescent="0.2">
      <c r="A4870" s="626"/>
      <c r="B4870" s="637"/>
      <c r="C4870" s="637"/>
      <c r="D4870" s="637"/>
      <c r="E4870" s="637"/>
      <c r="F4870" s="637"/>
      <c r="G4870" s="637"/>
      <c r="H4870" s="637"/>
      <c r="I4870" s="637"/>
      <c r="J4870" s="637"/>
    </row>
    <row r="4871" spans="1:10" x14ac:dyDescent="0.2">
      <c r="A4871" s="626"/>
      <c r="B4871" s="637"/>
      <c r="C4871" s="637"/>
      <c r="D4871" s="637"/>
      <c r="E4871" s="637"/>
      <c r="F4871" s="637"/>
      <c r="G4871" s="637"/>
      <c r="H4871" s="637"/>
      <c r="I4871" s="637"/>
      <c r="J4871" s="637"/>
    </row>
    <row r="4872" spans="1:10" x14ac:dyDescent="0.2">
      <c r="A4872" s="626"/>
      <c r="B4872" s="637"/>
      <c r="C4872" s="637"/>
      <c r="D4872" s="637"/>
      <c r="E4872" s="637"/>
      <c r="F4872" s="637"/>
      <c r="G4872" s="637"/>
      <c r="H4872" s="637"/>
      <c r="I4872" s="637"/>
      <c r="J4872" s="637"/>
    </row>
    <row r="4873" spans="1:10" x14ac:dyDescent="0.2">
      <c r="A4873" s="626"/>
      <c r="B4873" s="637"/>
      <c r="C4873" s="637"/>
      <c r="D4873" s="637"/>
      <c r="E4873" s="637"/>
      <c r="F4873" s="637"/>
      <c r="G4873" s="637"/>
      <c r="H4873" s="637"/>
      <c r="I4873" s="637"/>
      <c r="J4873" s="637"/>
    </row>
    <row r="4874" spans="1:10" x14ac:dyDescent="0.2">
      <c r="A4874" s="626"/>
      <c r="B4874" s="637"/>
      <c r="C4874" s="637"/>
      <c r="D4874" s="637"/>
      <c r="E4874" s="637"/>
      <c r="F4874" s="637"/>
      <c r="G4874" s="637"/>
      <c r="H4874" s="637"/>
      <c r="I4874" s="637"/>
      <c r="J4874" s="637"/>
    </row>
    <row r="4875" spans="1:10" x14ac:dyDescent="0.2">
      <c r="A4875" s="626"/>
      <c r="B4875" s="637"/>
      <c r="C4875" s="637"/>
      <c r="D4875" s="637"/>
      <c r="E4875" s="637"/>
      <c r="F4875" s="637"/>
      <c r="G4875" s="637"/>
      <c r="H4875" s="637"/>
      <c r="I4875" s="637"/>
      <c r="J4875" s="637"/>
    </row>
    <row r="4876" spans="1:10" x14ac:dyDescent="0.2">
      <c r="A4876" s="626"/>
      <c r="B4876" s="637"/>
      <c r="C4876" s="637"/>
      <c r="D4876" s="637"/>
      <c r="E4876" s="637"/>
      <c r="F4876" s="637"/>
      <c r="G4876" s="637"/>
      <c r="H4876" s="637"/>
      <c r="I4876" s="637"/>
      <c r="J4876" s="637"/>
    </row>
    <row r="4877" spans="1:10" x14ac:dyDescent="0.2">
      <c r="A4877" s="626"/>
      <c r="B4877" s="637"/>
      <c r="C4877" s="637"/>
      <c r="D4877" s="637"/>
      <c r="E4877" s="637"/>
      <c r="F4877" s="637"/>
      <c r="G4877" s="637"/>
      <c r="H4877" s="637"/>
      <c r="I4877" s="637"/>
      <c r="J4877" s="637"/>
    </row>
    <row r="4878" spans="1:10" x14ac:dyDescent="0.2">
      <c r="A4878" s="626"/>
      <c r="B4878" s="637"/>
      <c r="C4878" s="637"/>
      <c r="D4878" s="637"/>
      <c r="E4878" s="637"/>
      <c r="F4878" s="637"/>
      <c r="G4878" s="637"/>
      <c r="H4878" s="637"/>
      <c r="I4878" s="637"/>
      <c r="J4878" s="637"/>
    </row>
    <row r="4879" spans="1:10" x14ac:dyDescent="0.2">
      <c r="A4879" s="626"/>
      <c r="B4879" s="637"/>
      <c r="C4879" s="637"/>
      <c r="D4879" s="637"/>
      <c r="E4879" s="637"/>
      <c r="F4879" s="637"/>
      <c r="G4879" s="637"/>
      <c r="H4879" s="637"/>
      <c r="I4879" s="637"/>
      <c r="J4879" s="637"/>
    </row>
    <row r="4880" spans="1:10" x14ac:dyDescent="0.2">
      <c r="A4880" s="626"/>
      <c r="B4880" s="637"/>
      <c r="C4880" s="637"/>
      <c r="D4880" s="637"/>
      <c r="E4880" s="637"/>
      <c r="F4880" s="637"/>
      <c r="G4880" s="637"/>
      <c r="H4880" s="637"/>
      <c r="I4880" s="637"/>
      <c r="J4880" s="637"/>
    </row>
    <row r="4881" spans="1:10" x14ac:dyDescent="0.2">
      <c r="A4881" s="626"/>
      <c r="B4881" s="637"/>
      <c r="C4881" s="637"/>
      <c r="D4881" s="637"/>
      <c r="E4881" s="637"/>
      <c r="F4881" s="637"/>
      <c r="G4881" s="637"/>
      <c r="H4881" s="637"/>
      <c r="I4881" s="637"/>
      <c r="J4881" s="637"/>
    </row>
    <row r="4882" spans="1:10" x14ac:dyDescent="0.2">
      <c r="A4882" s="626"/>
      <c r="B4882" s="637"/>
      <c r="C4882" s="637"/>
      <c r="D4882" s="637"/>
      <c r="E4882" s="637"/>
      <c r="F4882" s="637"/>
      <c r="G4882" s="637"/>
      <c r="H4882" s="637"/>
      <c r="I4882" s="637"/>
      <c r="J4882" s="637"/>
    </row>
    <row r="4883" spans="1:10" x14ac:dyDescent="0.2">
      <c r="A4883" s="626"/>
      <c r="B4883" s="637"/>
      <c r="C4883" s="637"/>
      <c r="D4883" s="637"/>
      <c r="E4883" s="637"/>
      <c r="F4883" s="637"/>
      <c r="G4883" s="637"/>
      <c r="H4883" s="637"/>
      <c r="I4883" s="637"/>
      <c r="J4883" s="637"/>
    </row>
    <row r="4884" spans="1:10" x14ac:dyDescent="0.2">
      <c r="A4884" s="626"/>
      <c r="B4884" s="637"/>
      <c r="C4884" s="637"/>
      <c r="D4884" s="637"/>
      <c r="E4884" s="637"/>
      <c r="F4884" s="637"/>
      <c r="G4884" s="637"/>
      <c r="H4884" s="637"/>
      <c r="I4884" s="637"/>
      <c r="J4884" s="637"/>
    </row>
    <row r="4885" spans="1:10" x14ac:dyDescent="0.2">
      <c r="A4885" s="626"/>
      <c r="B4885" s="637"/>
      <c r="C4885" s="637"/>
      <c r="D4885" s="637"/>
      <c r="E4885" s="637"/>
      <c r="F4885" s="637"/>
      <c r="G4885" s="637"/>
      <c r="H4885" s="637"/>
      <c r="I4885" s="637"/>
      <c r="J4885" s="637"/>
    </row>
    <row r="4886" spans="1:10" x14ac:dyDescent="0.2">
      <c r="A4886" s="626"/>
      <c r="B4886" s="637"/>
      <c r="C4886" s="637"/>
      <c r="D4886" s="637"/>
      <c r="E4886" s="637"/>
      <c r="F4886" s="637"/>
      <c r="G4886" s="637"/>
      <c r="H4886" s="637"/>
      <c r="I4886" s="637"/>
      <c r="J4886" s="637"/>
    </row>
    <row r="4887" spans="1:10" x14ac:dyDescent="0.2">
      <c r="A4887" s="626"/>
      <c r="B4887" s="637"/>
      <c r="C4887" s="637"/>
      <c r="D4887" s="637"/>
      <c r="E4887" s="637"/>
      <c r="F4887" s="637"/>
      <c r="G4887" s="637"/>
      <c r="H4887" s="637"/>
      <c r="I4887" s="637"/>
      <c r="J4887" s="637"/>
    </row>
    <row r="4888" spans="1:10" x14ac:dyDescent="0.2">
      <c r="A4888" s="626"/>
      <c r="B4888" s="637"/>
      <c r="C4888" s="637"/>
      <c r="D4888" s="637"/>
      <c r="E4888" s="637"/>
      <c r="F4888" s="637"/>
      <c r="G4888" s="637"/>
      <c r="H4888" s="637"/>
      <c r="I4888" s="637"/>
      <c r="J4888" s="637"/>
    </row>
    <row r="4889" spans="1:10" x14ac:dyDescent="0.2">
      <c r="A4889" s="626"/>
      <c r="B4889" s="637"/>
      <c r="C4889" s="637"/>
      <c r="D4889" s="637"/>
      <c r="E4889" s="637"/>
      <c r="F4889" s="637"/>
      <c r="G4889" s="637"/>
      <c r="H4889" s="637"/>
      <c r="I4889" s="637"/>
      <c r="J4889" s="637"/>
    </row>
    <row r="4890" spans="1:10" x14ac:dyDescent="0.2">
      <c r="A4890" s="626"/>
      <c r="B4890" s="637"/>
      <c r="C4890" s="637"/>
      <c r="D4890" s="637"/>
      <c r="E4890" s="637"/>
      <c r="F4890" s="637"/>
      <c r="G4890" s="637"/>
      <c r="H4890" s="637"/>
      <c r="I4890" s="637"/>
      <c r="J4890" s="637"/>
    </row>
    <row r="4891" spans="1:10" x14ac:dyDescent="0.2">
      <c r="A4891" s="626"/>
      <c r="B4891" s="637"/>
      <c r="C4891" s="637"/>
      <c r="D4891" s="637"/>
      <c r="E4891" s="637"/>
      <c r="F4891" s="637"/>
      <c r="G4891" s="637"/>
      <c r="H4891" s="637"/>
      <c r="I4891" s="637"/>
      <c r="J4891" s="637"/>
    </row>
    <row r="4892" spans="1:10" x14ac:dyDescent="0.2">
      <c r="A4892" s="626"/>
      <c r="B4892" s="637"/>
      <c r="C4892" s="637"/>
      <c r="D4892" s="637"/>
      <c r="E4892" s="637"/>
      <c r="F4892" s="637"/>
      <c r="G4892" s="637"/>
      <c r="H4892" s="637"/>
      <c r="I4892" s="637"/>
      <c r="J4892" s="637"/>
    </row>
    <row r="4893" spans="1:10" x14ac:dyDescent="0.2">
      <c r="A4893" s="626"/>
      <c r="B4893" s="637"/>
      <c r="C4893" s="637"/>
      <c r="D4893" s="637"/>
      <c r="E4893" s="637"/>
      <c r="F4893" s="637"/>
      <c r="G4893" s="637"/>
      <c r="H4893" s="637"/>
      <c r="I4893" s="637"/>
      <c r="J4893" s="637"/>
    </row>
    <row r="4894" spans="1:10" x14ac:dyDescent="0.2">
      <c r="A4894" s="624"/>
      <c r="B4894" s="637"/>
      <c r="C4894" s="637"/>
      <c r="D4894" s="637"/>
      <c r="E4894" s="637"/>
      <c r="F4894" s="637"/>
      <c r="G4894" s="637"/>
      <c r="H4894" s="637"/>
      <c r="I4894" s="637"/>
      <c r="J4894" s="637"/>
    </row>
  </sheetData>
  <pageMargins left="0.7" right="0.7" top="0.75" bottom="0.75" header="0.3" footer="0.3"/>
  <customProperties>
    <customPr name="_pios_id" r:id="rId1"/>
    <customPr name="CofWorksheetType"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48.7109375" style="21" customWidth="1"/>
    <col min="2" max="2" width="3.28515625" style="47" customWidth="1"/>
    <col min="3" max="8" width="8.7109375" style="21" customWidth="1"/>
    <col min="9"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2" ht="14.45" customHeight="1" x14ac:dyDescent="0.25">
      <c r="A1" s="839" t="str">
        <f>muni&amp; " - "&amp;S71D&amp; " - "&amp;date</f>
        <v>KZN282 uMhlathuze - Table C5 Monthly Budget Statement - Capital Expenditure (municipal vote, functional classification and funding) - M10 April</v>
      </c>
      <c r="B1" s="839"/>
      <c r="C1" s="839"/>
      <c r="D1" s="839"/>
      <c r="E1" s="839"/>
      <c r="F1" s="839"/>
      <c r="G1" s="839"/>
      <c r="H1" s="839"/>
      <c r="I1" s="839"/>
      <c r="J1" s="839"/>
      <c r="K1" s="839"/>
    </row>
    <row r="2" spans="1:12" x14ac:dyDescent="0.25">
      <c r="A2" s="837" t="str">
        <f>Vdesc</f>
        <v>Vote Description</v>
      </c>
      <c r="B2" s="846" t="str">
        <f>head27</f>
        <v>Ref</v>
      </c>
      <c r="C2" s="75" t="str">
        <f>Head1</f>
        <v>2023/24</v>
      </c>
      <c r="D2" s="139" t="str">
        <f>Head2</f>
        <v>Budget Year 2024/25</v>
      </c>
      <c r="E2" s="124"/>
      <c r="F2" s="124"/>
      <c r="G2" s="124"/>
      <c r="H2" s="124"/>
      <c r="I2" s="124"/>
      <c r="J2" s="124"/>
      <c r="K2" s="125"/>
    </row>
    <row r="3" spans="1:12" ht="25.5" x14ac:dyDescent="0.25">
      <c r="A3" s="838"/>
      <c r="B3" s="847"/>
      <c r="C3" s="84" t="str">
        <f>Head5</f>
        <v>Audited Outcome</v>
      </c>
      <c r="D3" s="147" t="str">
        <f>Head6</f>
        <v>Original Budget</v>
      </c>
      <c r="E3" s="76" t="str">
        <f>Head7</f>
        <v>Adjusted Budget</v>
      </c>
      <c r="F3" s="76" t="str">
        <f>Head38</f>
        <v>Monthly actual</v>
      </c>
      <c r="G3" s="76" t="str">
        <f>Head39</f>
        <v>YearTD actual</v>
      </c>
      <c r="H3" s="76" t="str">
        <f>Head40</f>
        <v>YearTD budget</v>
      </c>
      <c r="I3" s="76" t="str">
        <f>Head41</f>
        <v>YTD variance</v>
      </c>
      <c r="J3" s="103" t="str">
        <f>Head41</f>
        <v>YTD variance</v>
      </c>
      <c r="K3" s="86" t="str">
        <f>Head8</f>
        <v>Full Year Forecast</v>
      </c>
    </row>
    <row r="4" spans="1:12" x14ac:dyDescent="0.25">
      <c r="A4" s="28" t="s">
        <v>615</v>
      </c>
      <c r="B4" s="192">
        <v>1</v>
      </c>
      <c r="C4" s="93"/>
      <c r="D4" s="140"/>
      <c r="E4" s="135"/>
      <c r="F4" s="57"/>
      <c r="G4" s="57"/>
      <c r="H4" s="57"/>
      <c r="I4" s="57"/>
      <c r="J4" s="136" t="s">
        <v>528</v>
      </c>
      <c r="K4" s="120"/>
    </row>
    <row r="5" spans="1:12" ht="11.25" customHeight="1" x14ac:dyDescent="0.25">
      <c r="A5" s="92" t="s">
        <v>611</v>
      </c>
      <c r="B5" s="213">
        <v>2</v>
      </c>
      <c r="C5" s="74"/>
      <c r="D5" s="148"/>
      <c r="E5" s="34"/>
      <c r="F5" s="34"/>
      <c r="G5" s="34"/>
      <c r="H5" s="34"/>
      <c r="I5" s="34"/>
      <c r="J5" s="34"/>
      <c r="K5" s="78"/>
    </row>
    <row r="6" spans="1:12" ht="13.5" customHeight="1" x14ac:dyDescent="0.25">
      <c r="A6" s="30" t="str">
        <f>'Org structure'!A2</f>
        <v>Vote 1 - CITY DEVELOPMENT</v>
      </c>
      <c r="B6" s="193"/>
      <c r="C6" s="74">
        <f>'C5C'!C7</f>
        <v>20037634.140000001</v>
      </c>
      <c r="D6" s="148">
        <f>'C5C'!D7</f>
        <v>38443000</v>
      </c>
      <c r="E6" s="34">
        <f>'C5C'!E7</f>
        <v>52343000</v>
      </c>
      <c r="F6" s="34">
        <f>'C5C'!F7</f>
        <v>0</v>
      </c>
      <c r="G6" s="34">
        <f>'C5C'!G7</f>
        <v>12370406.369999999</v>
      </c>
      <c r="H6" s="34">
        <f>'C5C'!H7</f>
        <v>24826175.800000001</v>
      </c>
      <c r="I6" s="34">
        <f>G6-H6</f>
        <v>-12455769.430000002</v>
      </c>
      <c r="J6" s="160">
        <f>IF(H6=0,"",I6/H6)</f>
        <v>-0.50171921484580806</v>
      </c>
      <c r="K6" s="78">
        <f>'C5C'!K7</f>
        <v>52343000</v>
      </c>
    </row>
    <row r="7" spans="1:12" ht="13.5" customHeight="1" x14ac:dyDescent="0.25">
      <c r="A7" s="30" t="str">
        <f>'Org structure'!A3</f>
        <v>Vote 2 - COMMUNITY SERVICES - PUBLIC HEALTH AND EMERGENCY SERVICES</v>
      </c>
      <c r="B7" s="193"/>
      <c r="C7" s="74">
        <f>'C5C'!C20</f>
        <v>11615085.130000001</v>
      </c>
      <c r="D7" s="148">
        <f>'C5C'!D20</f>
        <v>30835000</v>
      </c>
      <c r="E7" s="34">
        <f>'C5C'!E20</f>
        <v>28116000</v>
      </c>
      <c r="F7" s="34">
        <f>'C5C'!F20</f>
        <v>199609</v>
      </c>
      <c r="G7" s="34">
        <f>'C5C'!G20</f>
        <v>11801664.529999999</v>
      </c>
      <c r="H7" s="34">
        <f>'C5C'!H20</f>
        <v>29237753.559999999</v>
      </c>
      <c r="I7" s="87">
        <f>G7-H7</f>
        <v>-17436089.030000001</v>
      </c>
      <c r="J7" s="160">
        <f t="shared" ref="J7:J70" si="0">IF(H7=0,"",I7/H7)</f>
        <v>-0.59635529091585937</v>
      </c>
      <c r="K7" s="78">
        <f>'C5C'!K20</f>
        <v>28116000</v>
      </c>
    </row>
    <row r="8" spans="1:12" ht="13.5" customHeight="1" x14ac:dyDescent="0.25">
      <c r="A8" s="30" t="str">
        <f>'Org structure'!A4</f>
        <v>Vote 3 - COMMUNITY SERVICES - PROTECTION SERVICES</v>
      </c>
      <c r="B8" s="193"/>
      <c r="C8" s="74">
        <f>'C5C'!C28</f>
        <v>0</v>
      </c>
      <c r="D8" s="148">
        <f>'C5C'!D28</f>
        <v>25000</v>
      </c>
      <c r="E8" s="34">
        <f>'C5C'!E28</f>
        <v>12500</v>
      </c>
      <c r="F8" s="34">
        <f>'C5C'!F28</f>
        <v>0</v>
      </c>
      <c r="G8" s="34">
        <f>'C5C'!G28</f>
        <v>0</v>
      </c>
      <c r="H8" s="34">
        <f>'C5C'!H28</f>
        <v>12500</v>
      </c>
      <c r="I8" s="34">
        <f t="shared" ref="I8:I17" si="1">G8-H8</f>
        <v>-12500</v>
      </c>
      <c r="J8" s="160">
        <f t="shared" si="0"/>
        <v>-1</v>
      </c>
      <c r="K8" s="78">
        <f>'C5C'!K28</f>
        <v>12500</v>
      </c>
      <c r="L8" s="318"/>
    </row>
    <row r="9" spans="1:12" ht="13.5" customHeight="1" x14ac:dyDescent="0.25">
      <c r="A9" s="30" t="str">
        <f>'Org structure'!A5</f>
        <v>Vote 4 - COMMUNITY SERVICES - RECREATIONAL AND ENVIRONMENTAL SERVICES</v>
      </c>
      <c r="B9" s="193"/>
      <c r="C9" s="74">
        <f>'C5C'!C33</f>
        <v>68337840.280000001</v>
      </c>
      <c r="D9" s="148">
        <f>'C5C'!D33</f>
        <v>23607000</v>
      </c>
      <c r="E9" s="34">
        <f>'C5C'!E33</f>
        <v>35108500</v>
      </c>
      <c r="F9" s="34">
        <f>'C5C'!F33</f>
        <v>16197513.48</v>
      </c>
      <c r="G9" s="34">
        <f>'C5C'!G33</f>
        <v>39345387.890000001</v>
      </c>
      <c r="H9" s="34">
        <f>'C5C'!H33</f>
        <v>25084879.27</v>
      </c>
      <c r="I9" s="34">
        <f t="shared" si="1"/>
        <v>14260508.620000001</v>
      </c>
      <c r="J9" s="160">
        <f t="shared" si="0"/>
        <v>0.56849022339344912</v>
      </c>
      <c r="K9" s="78">
        <f>'C5C'!K33</f>
        <v>35108500</v>
      </c>
      <c r="L9" s="318"/>
    </row>
    <row r="10" spans="1:12" ht="13.5" customHeight="1" x14ac:dyDescent="0.25">
      <c r="A10" s="30" t="str">
        <f>'Org structure'!A6</f>
        <v>Vote 5 - CORPORATE SERVICES - ADMINISTRATION</v>
      </c>
      <c r="B10" s="193"/>
      <c r="C10" s="74">
        <f>'C5C'!C47</f>
        <v>59200092.930000007</v>
      </c>
      <c r="D10" s="148">
        <f>'C5C'!D47</f>
        <v>8599000</v>
      </c>
      <c r="E10" s="34">
        <f>'C5C'!E47</f>
        <v>8785400</v>
      </c>
      <c r="F10" s="34">
        <f>'C5C'!F47</f>
        <v>15648</v>
      </c>
      <c r="G10" s="34">
        <f>'C5C'!G47</f>
        <v>627426.54</v>
      </c>
      <c r="H10" s="34">
        <f>'C5C'!H47</f>
        <v>6141882.54</v>
      </c>
      <c r="I10" s="34">
        <f t="shared" si="1"/>
        <v>-5514456</v>
      </c>
      <c r="J10" s="160">
        <f t="shared" si="0"/>
        <v>-0.89784458821643309</v>
      </c>
      <c r="K10" s="78">
        <f>'C5C'!K47</f>
        <v>8785400</v>
      </c>
      <c r="L10" s="318"/>
    </row>
    <row r="11" spans="1:12" ht="13.5" customHeight="1" x14ac:dyDescent="0.25">
      <c r="A11" s="30" t="str">
        <f>'Org structure'!A7</f>
        <v>Vote 6 - CORPORATE SERVICES - INFORMATION COMMUNICATION TECHNOLOGY</v>
      </c>
      <c r="B11" s="193"/>
      <c r="C11" s="74">
        <f>'C5C'!C51</f>
        <v>396922.23</v>
      </c>
      <c r="D11" s="148">
        <f>'C5C'!D51</f>
        <v>30155000</v>
      </c>
      <c r="E11" s="34">
        <f>'C5C'!E51</f>
        <v>30407500</v>
      </c>
      <c r="F11" s="34">
        <f>'C5C'!F51</f>
        <v>-0.98</v>
      </c>
      <c r="G11" s="34">
        <f>'C5C'!G51</f>
        <v>11676994.859999999</v>
      </c>
      <c r="H11" s="34">
        <f>'C5C'!H51</f>
        <v>17784800</v>
      </c>
      <c r="I11" s="34">
        <f t="shared" si="1"/>
        <v>-6107805.1400000006</v>
      </c>
      <c r="J11" s="160">
        <f t="shared" si="0"/>
        <v>-0.34342838491295941</v>
      </c>
      <c r="K11" s="78">
        <f>'C5C'!K51</f>
        <v>30407500</v>
      </c>
      <c r="L11" s="318"/>
    </row>
    <row r="12" spans="1:12" ht="13.5" customHeight="1" x14ac:dyDescent="0.25">
      <c r="A12" s="30" t="str">
        <f>'Org structure'!A8</f>
        <v>Vote 7 - CORPORATE SERVICES - HUMAN RESOURCES</v>
      </c>
      <c r="B12" s="193"/>
      <c r="C12" s="74">
        <f>'C5C'!C53</f>
        <v>0</v>
      </c>
      <c r="D12" s="148">
        <f>'C5C'!D53</f>
        <v>0</v>
      </c>
      <c r="E12" s="34">
        <f>'C5C'!E53</f>
        <v>0</v>
      </c>
      <c r="F12" s="34">
        <f>'C5C'!F53</f>
        <v>0</v>
      </c>
      <c r="G12" s="34">
        <f>'C5C'!G53</f>
        <v>0</v>
      </c>
      <c r="H12" s="34">
        <f>'C5C'!H53</f>
        <v>0</v>
      </c>
      <c r="I12" s="34">
        <f t="shared" si="1"/>
        <v>0</v>
      </c>
      <c r="J12" s="160" t="str">
        <f t="shared" si="0"/>
        <v/>
      </c>
      <c r="K12" s="78">
        <f>'C5C'!K53</f>
        <v>0</v>
      </c>
      <c r="L12" s="318"/>
    </row>
    <row r="13" spans="1:12" ht="13.5" customHeight="1" x14ac:dyDescent="0.25">
      <c r="A13" s="30" t="str">
        <f>'Org structure'!A9</f>
        <v>Vote 8 - FINANCIAL SERVICES</v>
      </c>
      <c r="B13" s="193"/>
      <c r="C13" s="74">
        <f>'C5C'!C58</f>
        <v>15649</v>
      </c>
      <c r="D13" s="148">
        <f>'C5C'!D58</f>
        <v>109000</v>
      </c>
      <c r="E13" s="34">
        <f>'C5C'!E58</f>
        <v>78000</v>
      </c>
      <c r="F13" s="34">
        <f>'C5C'!F58</f>
        <v>0</v>
      </c>
      <c r="G13" s="34">
        <f>'C5C'!G58</f>
        <v>24829.96</v>
      </c>
      <c r="H13" s="34">
        <f>'C5C'!H58</f>
        <v>70099.960000000006</v>
      </c>
      <c r="I13" s="34">
        <f t="shared" si="1"/>
        <v>-45270.000000000007</v>
      </c>
      <c r="J13" s="160">
        <f t="shared" si="0"/>
        <v>-0.64579209460319242</v>
      </c>
      <c r="K13" s="78">
        <f>'C5C'!K58</f>
        <v>78000</v>
      </c>
      <c r="L13" s="318"/>
    </row>
    <row r="14" spans="1:12" ht="13.5" customHeight="1" x14ac:dyDescent="0.25">
      <c r="A14" s="30" t="str">
        <f>'Org structure'!A10</f>
        <v>Vote 9 - ELECTRICAL AND ENERGY SUPPLY SERVICES</v>
      </c>
      <c r="B14" s="193"/>
      <c r="C14" s="74">
        <f>'C5C'!C64</f>
        <v>93568553.480000004</v>
      </c>
      <c r="D14" s="148">
        <f>'C5C'!D64</f>
        <v>81172300</v>
      </c>
      <c r="E14" s="34">
        <f>'C5C'!E64</f>
        <v>86627800</v>
      </c>
      <c r="F14" s="34">
        <f>'C5C'!F64</f>
        <v>7932069.71</v>
      </c>
      <c r="G14" s="34">
        <f>'C5C'!G64</f>
        <v>25682257.710000001</v>
      </c>
      <c r="H14" s="34">
        <f>'C5C'!H64</f>
        <v>45318243.120000005</v>
      </c>
      <c r="I14" s="34">
        <f t="shared" si="1"/>
        <v>-19635985.410000004</v>
      </c>
      <c r="J14" s="160">
        <f t="shared" si="0"/>
        <v>-0.43329096756917707</v>
      </c>
      <c r="K14" s="78">
        <f>'C5C'!K64</f>
        <v>86627800</v>
      </c>
      <c r="L14" s="318"/>
    </row>
    <row r="15" spans="1:12" ht="13.5" customHeight="1" x14ac:dyDescent="0.25">
      <c r="A15" s="30" t="str">
        <f>'Org structure'!A11</f>
        <v>Vote 10 - INFRASTRUCTURE SERVICES - INFRASTRUCTURE AND FACILITIES MANAGEMENT SERVICES</v>
      </c>
      <c r="B15" s="193"/>
      <c r="C15" s="74">
        <f>'C5C'!C72</f>
        <v>0</v>
      </c>
      <c r="D15" s="148">
        <f>'C5C'!D72</f>
        <v>2000</v>
      </c>
      <c r="E15" s="34">
        <f>'C5C'!E72</f>
        <v>2000</v>
      </c>
      <c r="F15" s="34">
        <f>'C5C'!F72</f>
        <v>0</v>
      </c>
      <c r="G15" s="34">
        <f>'C5C'!G72</f>
        <v>0</v>
      </c>
      <c r="H15" s="34">
        <f>'C5C'!H72</f>
        <v>0</v>
      </c>
      <c r="I15" s="34">
        <f t="shared" si="1"/>
        <v>0</v>
      </c>
      <c r="J15" s="160" t="str">
        <f t="shared" si="0"/>
        <v/>
      </c>
      <c r="K15" s="78">
        <f>'C5C'!K72</f>
        <v>2000</v>
      </c>
      <c r="L15" s="318"/>
    </row>
    <row r="16" spans="1:12" ht="13.5" customHeight="1" x14ac:dyDescent="0.25">
      <c r="A16" s="30" t="str">
        <f>'Org structure'!A12</f>
        <v>Vote 11 - INFRASTRUCTURE SERVICES - CIVIL ENGINEERING SERVICES</v>
      </c>
      <c r="B16" s="193"/>
      <c r="C16" s="74">
        <f>'C5C'!C75</f>
        <v>497586654.89999998</v>
      </c>
      <c r="D16" s="148">
        <f>'C5C'!D75</f>
        <v>333721700</v>
      </c>
      <c r="E16" s="34">
        <f>'C5C'!E75</f>
        <v>326713300</v>
      </c>
      <c r="F16" s="34">
        <f>'C5C'!F75</f>
        <v>-22709150.57</v>
      </c>
      <c r="G16" s="34">
        <f>'C5C'!G75</f>
        <v>248564004.41000003</v>
      </c>
      <c r="H16" s="34">
        <f>'C5C'!H75</f>
        <v>312401191.49000001</v>
      </c>
      <c r="I16" s="34">
        <f t="shared" si="1"/>
        <v>-63837187.079999983</v>
      </c>
      <c r="J16" s="160">
        <f t="shared" si="0"/>
        <v>-0.20434360949626346</v>
      </c>
      <c r="K16" s="78">
        <f>'C5C'!K75</f>
        <v>326713300</v>
      </c>
      <c r="L16" s="318"/>
    </row>
    <row r="17" spans="1:12" ht="13.5" customHeight="1" x14ac:dyDescent="0.25">
      <c r="A17" s="30" t="str">
        <f>'Org structure'!A16</f>
        <v>Vote 12 - INFRASTRUCTURE SERVICES - ENGINEERING SERVICES</v>
      </c>
      <c r="B17" s="193"/>
      <c r="C17" s="74">
        <f>'C5C'!C89</f>
        <v>0</v>
      </c>
      <c r="D17" s="148">
        <f>'C5C'!D89</f>
        <v>0</v>
      </c>
      <c r="E17" s="34">
        <f>'C5C'!E89</f>
        <v>0</v>
      </c>
      <c r="F17" s="34">
        <f>'C5C'!F89</f>
        <v>0</v>
      </c>
      <c r="G17" s="34">
        <f>'C5C'!G89</f>
        <v>0</v>
      </c>
      <c r="H17" s="34">
        <f>'C5C'!H89</f>
        <v>0</v>
      </c>
      <c r="I17" s="34">
        <f t="shared" si="1"/>
        <v>0</v>
      </c>
      <c r="J17" s="160" t="str">
        <f t="shared" si="0"/>
        <v/>
      </c>
      <c r="K17" s="78">
        <f>'C5C'!K89</f>
        <v>0</v>
      </c>
      <c r="L17" s="318"/>
    </row>
    <row r="18" spans="1:12" ht="13.5" customHeight="1" x14ac:dyDescent="0.25">
      <c r="A18" s="30" t="str">
        <f>'Org structure'!A17</f>
        <v>Vote 13 - OFFICE OF THE MUNICIPAL MANAGER</v>
      </c>
      <c r="B18" s="193"/>
      <c r="C18" s="74">
        <f>'C5C'!C92</f>
        <v>15802.49</v>
      </c>
      <c r="D18" s="148">
        <f>'C5C'!D92</f>
        <v>23000</v>
      </c>
      <c r="E18" s="34">
        <f>'C5C'!E92</f>
        <v>0</v>
      </c>
      <c r="F18" s="34">
        <f>'C5C'!F92</f>
        <v>0</v>
      </c>
      <c r="G18" s="34">
        <f>'C5C'!G92</f>
        <v>0</v>
      </c>
      <c r="H18" s="34">
        <f>'C5C'!H92</f>
        <v>0</v>
      </c>
      <c r="I18" s="34">
        <f>G18-H18</f>
        <v>0</v>
      </c>
      <c r="J18" s="160" t="str">
        <f t="shared" si="0"/>
        <v/>
      </c>
      <c r="K18" s="78">
        <f>'C5C'!K92</f>
        <v>0</v>
      </c>
      <c r="L18" s="318"/>
    </row>
    <row r="19" spans="1:12" ht="13.5" customHeight="1" x14ac:dyDescent="0.25">
      <c r="A19" s="30" t="str">
        <f>'Org structure'!A18</f>
        <v>Vote 14 - CORPORATE SERVICES - LEGAL SERVICES</v>
      </c>
      <c r="B19" s="193"/>
      <c r="C19" s="74">
        <f>'C5C'!C106</f>
        <v>0</v>
      </c>
      <c r="D19" s="148">
        <f>'C5C'!D106</f>
        <v>0</v>
      </c>
      <c r="E19" s="34">
        <f>'C5C'!E106</f>
        <v>0</v>
      </c>
      <c r="F19" s="34">
        <f>'C5C'!F106</f>
        <v>0</v>
      </c>
      <c r="G19" s="34">
        <f>'C5C'!G106</f>
        <v>0</v>
      </c>
      <c r="H19" s="34">
        <f>'C5C'!H106</f>
        <v>0</v>
      </c>
      <c r="I19" s="34">
        <f>G19-H19</f>
        <v>0</v>
      </c>
      <c r="J19" s="160" t="str">
        <f t="shared" si="0"/>
        <v/>
      </c>
      <c r="K19" s="78">
        <f>'C5C'!K106</f>
        <v>0</v>
      </c>
      <c r="L19" s="318"/>
    </row>
    <row r="20" spans="1:12" ht="13.5" customHeight="1" x14ac:dyDescent="0.25">
      <c r="A20" s="30" t="str">
        <f>'Org structure'!A19</f>
        <v>Vote 15 - INFRASTRUCTURE SERVICES - INFRASTRUCTURE SUPPORT SERVICES</v>
      </c>
      <c r="B20" s="193"/>
      <c r="C20" s="74">
        <f>'C5C'!C108</f>
        <v>11270622.620000001</v>
      </c>
      <c r="D20" s="148">
        <f>'C5C'!D108</f>
        <v>19300000</v>
      </c>
      <c r="E20" s="34">
        <f>'C5C'!E108</f>
        <v>18300000</v>
      </c>
      <c r="F20" s="34">
        <f>'C5C'!F108</f>
        <v>4739852.82</v>
      </c>
      <c r="G20" s="34">
        <f>'C5C'!G108</f>
        <v>12650830.25</v>
      </c>
      <c r="H20" s="34">
        <f>'C5C'!H108</f>
        <v>11328954.48</v>
      </c>
      <c r="I20" s="34">
        <f>G20-H20</f>
        <v>1321875.7699999996</v>
      </c>
      <c r="J20" s="672">
        <f t="shared" si="0"/>
        <v>0.11668117939158668</v>
      </c>
      <c r="K20" s="78">
        <f>'C5C'!K108</f>
        <v>18300000</v>
      </c>
      <c r="L20" s="318"/>
    </row>
    <row r="21" spans="1:12" ht="12.75" customHeight="1" x14ac:dyDescent="0.25">
      <c r="A21" s="59" t="s">
        <v>706</v>
      </c>
      <c r="B21" s="193" t="s">
        <v>479</v>
      </c>
      <c r="C21" s="218">
        <f>SUM(C6:C20)</f>
        <v>762044857.19999993</v>
      </c>
      <c r="D21" s="218">
        <f t="shared" ref="D21:I21" si="2">SUM(D6:D20)</f>
        <v>565992000</v>
      </c>
      <c r="E21" s="200">
        <f t="shared" si="2"/>
        <v>586494000</v>
      </c>
      <c r="F21" s="200">
        <f t="shared" si="2"/>
        <v>6375541.4600000009</v>
      </c>
      <c r="G21" s="200">
        <f t="shared" si="2"/>
        <v>362743802.51999998</v>
      </c>
      <c r="H21" s="200">
        <f t="shared" si="2"/>
        <v>472206480.22000003</v>
      </c>
      <c r="I21" s="200">
        <f t="shared" si="2"/>
        <v>-109462677.69999999</v>
      </c>
      <c r="J21" s="160">
        <f t="shared" si="0"/>
        <v>-0.23181104513644443</v>
      </c>
      <c r="K21" s="211">
        <f>SUM(K6:K20)</f>
        <v>586494000</v>
      </c>
    </row>
    <row r="22" spans="1:12" ht="5.0999999999999996" customHeight="1" x14ac:dyDescent="0.25">
      <c r="A22" s="32"/>
      <c r="B22" s="193"/>
      <c r="C22" s="74"/>
      <c r="D22" s="148"/>
      <c r="E22" s="34"/>
      <c r="F22" s="34"/>
      <c r="G22" s="34"/>
      <c r="H22" s="34"/>
      <c r="I22" s="34"/>
      <c r="J22" s="160" t="str">
        <f t="shared" si="0"/>
        <v/>
      </c>
      <c r="K22" s="78"/>
    </row>
    <row r="23" spans="1:12" ht="12.75" customHeight="1" x14ac:dyDescent="0.25">
      <c r="A23" s="29" t="s">
        <v>431</v>
      </c>
      <c r="B23" s="193">
        <v>2</v>
      </c>
      <c r="C23" s="74"/>
      <c r="D23" s="148"/>
      <c r="E23" s="34"/>
      <c r="F23" s="34"/>
      <c r="G23" s="34"/>
      <c r="H23" s="34"/>
      <c r="I23" s="34"/>
      <c r="J23" s="160" t="str">
        <f t="shared" si="0"/>
        <v/>
      </c>
      <c r="K23" s="78"/>
    </row>
    <row r="24" spans="1:12" ht="12.75" customHeight="1" x14ac:dyDescent="0.25">
      <c r="A24" s="30" t="str">
        <f>'Org structure'!A2</f>
        <v>Vote 1 - CITY DEVELOPMENT</v>
      </c>
      <c r="B24" s="193"/>
      <c r="C24" s="74">
        <f>'C5C'!C115</f>
        <v>1457540</v>
      </c>
      <c r="D24" s="148">
        <f>'C5C'!D115</f>
        <v>0</v>
      </c>
      <c r="E24" s="34">
        <f>'C5C'!E115</f>
        <v>0</v>
      </c>
      <c r="F24" s="34">
        <f>'C5C'!F115</f>
        <v>0</v>
      </c>
      <c r="G24" s="34">
        <f>'C5C'!G115</f>
        <v>0</v>
      </c>
      <c r="H24" s="34">
        <f>'C5C'!H115</f>
        <v>0</v>
      </c>
      <c r="I24" s="34">
        <f>'C5C'!I115</f>
        <v>0</v>
      </c>
      <c r="J24" s="160" t="str">
        <f t="shared" si="0"/>
        <v/>
      </c>
      <c r="K24" s="78">
        <f>'C5C'!K115</f>
        <v>0</v>
      </c>
    </row>
    <row r="25" spans="1:12" ht="12.75" customHeight="1" x14ac:dyDescent="0.25">
      <c r="A25" s="30" t="str">
        <f>'Org structure'!A3</f>
        <v>Vote 2 - COMMUNITY SERVICES - PUBLIC HEALTH AND EMERGENCY SERVICES</v>
      </c>
      <c r="B25" s="193"/>
      <c r="C25" s="74">
        <f>'C5C'!C128</f>
        <v>729985</v>
      </c>
      <c r="D25" s="148">
        <f>'C5C'!D128</f>
        <v>58000</v>
      </c>
      <c r="E25" s="34">
        <f>'C5C'!E128</f>
        <v>58000</v>
      </c>
      <c r="F25" s="34">
        <f>'C5C'!F128</f>
        <v>0</v>
      </c>
      <c r="G25" s="34">
        <f>'C5C'!G128</f>
        <v>9900</v>
      </c>
      <c r="H25" s="34">
        <f>'C5C'!H128</f>
        <v>23900</v>
      </c>
      <c r="I25" s="34">
        <f>'C5C'!I128</f>
        <v>-14000</v>
      </c>
      <c r="J25" s="160">
        <f t="shared" si="0"/>
        <v>-0.58577405857740583</v>
      </c>
      <c r="K25" s="78">
        <f>'C5C'!K128</f>
        <v>58000</v>
      </c>
    </row>
    <row r="26" spans="1:12" ht="12.75" customHeight="1" x14ac:dyDescent="0.25">
      <c r="A26" s="30" t="str">
        <f>'Org structure'!A4</f>
        <v>Vote 3 - COMMUNITY SERVICES - PROTECTION SERVICES</v>
      </c>
      <c r="B26" s="193"/>
      <c r="C26" s="74">
        <f>'C5C'!C136</f>
        <v>106802.4</v>
      </c>
      <c r="D26" s="148">
        <f>'C5C'!D136</f>
        <v>64000</v>
      </c>
      <c r="E26" s="34">
        <f>'C5C'!E136</f>
        <v>85000</v>
      </c>
      <c r="F26" s="34">
        <f>'C5C'!F136</f>
        <v>0</v>
      </c>
      <c r="G26" s="34">
        <f>'C5C'!G136</f>
        <v>38876</v>
      </c>
      <c r="H26" s="34">
        <f>'C5C'!H136</f>
        <v>83876</v>
      </c>
      <c r="I26" s="34">
        <f>'C5C'!I136</f>
        <v>-45000</v>
      </c>
      <c r="J26" s="160">
        <f t="shared" si="0"/>
        <v>-0.53650627116219185</v>
      </c>
      <c r="K26" s="78">
        <f>'C5C'!K136</f>
        <v>85000</v>
      </c>
      <c r="L26" s="318"/>
    </row>
    <row r="27" spans="1:12" ht="12.75" customHeight="1" x14ac:dyDescent="0.25">
      <c r="A27" s="30" t="str">
        <f>'Org structure'!A5</f>
        <v>Vote 4 - COMMUNITY SERVICES - RECREATIONAL AND ENVIRONMENTAL SERVICES</v>
      </c>
      <c r="B27" s="193"/>
      <c r="C27" s="74">
        <f>'C5C'!C141</f>
        <v>9050848.0299999993</v>
      </c>
      <c r="D27" s="148">
        <f>'C5C'!D141</f>
        <v>373000</v>
      </c>
      <c r="E27" s="34">
        <f>'C5C'!E141</f>
        <v>628200</v>
      </c>
      <c r="F27" s="34">
        <f>'C5C'!F141</f>
        <v>0</v>
      </c>
      <c r="G27" s="34">
        <f>'C5C'!G141</f>
        <v>177691.5</v>
      </c>
      <c r="H27" s="34">
        <f>'C5C'!H141</f>
        <v>177691.5</v>
      </c>
      <c r="I27" s="34">
        <f>'C5C'!I141</f>
        <v>0</v>
      </c>
      <c r="J27" s="160">
        <f t="shared" si="0"/>
        <v>0</v>
      </c>
      <c r="K27" s="78">
        <f>'C5C'!K141</f>
        <v>628200</v>
      </c>
      <c r="L27" s="318"/>
    </row>
    <row r="28" spans="1:12" ht="12.75" customHeight="1" x14ac:dyDescent="0.25">
      <c r="A28" s="30" t="str">
        <f>'Org structure'!A6</f>
        <v>Vote 5 - CORPORATE SERVICES - ADMINISTRATION</v>
      </c>
      <c r="B28" s="193"/>
      <c r="C28" s="74">
        <f>'C5C'!C155</f>
        <v>4439071.49</v>
      </c>
      <c r="D28" s="148">
        <f>'C5C'!D155</f>
        <v>8417000</v>
      </c>
      <c r="E28" s="34">
        <f>'C5C'!E155</f>
        <v>10113800</v>
      </c>
      <c r="F28" s="34">
        <f>'C5C'!F155</f>
        <v>27533</v>
      </c>
      <c r="G28" s="34">
        <f>'C5C'!G155</f>
        <v>10261837</v>
      </c>
      <c r="H28" s="34">
        <f>'C5C'!H155</f>
        <v>12008667</v>
      </c>
      <c r="I28" s="34">
        <f>'C5C'!I155</f>
        <v>-1746830</v>
      </c>
      <c r="J28" s="160">
        <f t="shared" si="0"/>
        <v>-0.14546410521667391</v>
      </c>
      <c r="K28" s="78">
        <f>'C5C'!K155</f>
        <v>10113800</v>
      </c>
      <c r="L28" s="318"/>
    </row>
    <row r="29" spans="1:12" ht="12.75" customHeight="1" x14ac:dyDescent="0.25">
      <c r="A29" s="30" t="str">
        <f>'Org structure'!A7</f>
        <v>Vote 6 - CORPORATE SERVICES - INFORMATION COMMUNICATION TECHNOLOGY</v>
      </c>
      <c r="B29" s="193"/>
      <c r="C29" s="74">
        <f>'C5C'!C159</f>
        <v>4236203.12</v>
      </c>
      <c r="D29" s="148">
        <f>'C5C'!D159</f>
        <v>4570000</v>
      </c>
      <c r="E29" s="34">
        <f>'C5C'!E159</f>
        <v>4626600</v>
      </c>
      <c r="F29" s="34">
        <f>'C5C'!F159</f>
        <v>56129.06</v>
      </c>
      <c r="G29" s="34">
        <f>'C5C'!G159</f>
        <v>271583.34999999998</v>
      </c>
      <c r="H29" s="34">
        <f>'C5C'!H159</f>
        <v>3097600</v>
      </c>
      <c r="I29" s="34">
        <f>'C5C'!I159</f>
        <v>-2826016.65</v>
      </c>
      <c r="J29" s="160">
        <f t="shared" si="0"/>
        <v>-0.9123245900051653</v>
      </c>
      <c r="K29" s="78">
        <f>'C5C'!K159</f>
        <v>4626600</v>
      </c>
      <c r="L29" s="318"/>
    </row>
    <row r="30" spans="1:12" ht="12.75" customHeight="1" x14ac:dyDescent="0.25">
      <c r="A30" s="30" t="str">
        <f>'Org structure'!A8</f>
        <v>Vote 7 - CORPORATE SERVICES - HUMAN RESOURCES</v>
      </c>
      <c r="B30" s="193"/>
      <c r="C30" s="74">
        <f>'C5C'!C161</f>
        <v>178069.8</v>
      </c>
      <c r="D30" s="148">
        <f>'C5C'!D161</f>
        <v>153000</v>
      </c>
      <c r="E30" s="34">
        <f>'C5C'!E161</f>
        <v>114700</v>
      </c>
      <c r="F30" s="34">
        <f>'C5C'!F161</f>
        <v>0</v>
      </c>
      <c r="G30" s="34">
        <f>'C5C'!G161</f>
        <v>0</v>
      </c>
      <c r="H30" s="34">
        <f>'C5C'!H161</f>
        <v>76200</v>
      </c>
      <c r="I30" s="34">
        <f>'C5C'!I161</f>
        <v>-76200</v>
      </c>
      <c r="J30" s="160">
        <f t="shared" si="0"/>
        <v>-1</v>
      </c>
      <c r="K30" s="78">
        <f>'C5C'!K161</f>
        <v>114700</v>
      </c>
      <c r="L30" s="318"/>
    </row>
    <row r="31" spans="1:12" ht="12.75" customHeight="1" x14ac:dyDescent="0.25">
      <c r="A31" s="30" t="str">
        <f>'Org structure'!A9</f>
        <v>Vote 8 - FINANCIAL SERVICES</v>
      </c>
      <c r="B31" s="193"/>
      <c r="C31" s="74">
        <f>'C5C'!C166</f>
        <v>32585</v>
      </c>
      <c r="D31" s="148">
        <f>'C5C'!D166</f>
        <v>0</v>
      </c>
      <c r="E31" s="34">
        <f>'C5C'!E166</f>
        <v>31000</v>
      </c>
      <c r="F31" s="34">
        <f>'C5C'!F166</f>
        <v>0</v>
      </c>
      <c r="G31" s="34">
        <f>'C5C'!G166</f>
        <v>29799</v>
      </c>
      <c r="H31" s="34">
        <f>'C5C'!H166</f>
        <v>31000</v>
      </c>
      <c r="I31" s="34">
        <f>'C5C'!I166</f>
        <v>-1201</v>
      </c>
      <c r="J31" s="160">
        <f t="shared" si="0"/>
        <v>-3.8741935483870969E-2</v>
      </c>
      <c r="K31" s="78">
        <f>'C5C'!K166</f>
        <v>31000</v>
      </c>
      <c r="L31" s="318"/>
    </row>
    <row r="32" spans="1:12" ht="12.75" customHeight="1" x14ac:dyDescent="0.25">
      <c r="A32" s="30" t="str">
        <f>'Org structure'!A10</f>
        <v>Vote 9 - ELECTRICAL AND ENERGY SUPPLY SERVICES</v>
      </c>
      <c r="B32" s="193"/>
      <c r="C32" s="74">
        <f>'C5C'!C172</f>
        <v>12575681.359999999</v>
      </c>
      <c r="D32" s="148">
        <f>'C5C'!D172</f>
        <v>19230000</v>
      </c>
      <c r="E32" s="34">
        <f>'C5C'!E172</f>
        <v>20593900</v>
      </c>
      <c r="F32" s="34">
        <f>'C5C'!F172</f>
        <v>0</v>
      </c>
      <c r="G32" s="34">
        <f>'C5C'!G172</f>
        <v>1119536.42</v>
      </c>
      <c r="H32" s="34">
        <f>'C5C'!H172</f>
        <v>8197500</v>
      </c>
      <c r="I32" s="34">
        <f>'C5C'!I172</f>
        <v>-7077963.5800000001</v>
      </c>
      <c r="J32" s="160">
        <f t="shared" si="0"/>
        <v>-0.86342953095455932</v>
      </c>
      <c r="K32" s="78">
        <f>'C5C'!K172</f>
        <v>20593900</v>
      </c>
      <c r="L32" s="318"/>
    </row>
    <row r="33" spans="1:12" ht="12.75" customHeight="1" x14ac:dyDescent="0.25">
      <c r="A33" s="30" t="str">
        <f>'Org structure'!A11</f>
        <v>Vote 10 - INFRASTRUCTURE SERVICES - INFRASTRUCTURE AND FACILITIES MANAGEMENT SERVICES</v>
      </c>
      <c r="B33" s="193"/>
      <c r="C33" s="74">
        <f>'C5C'!C180</f>
        <v>0</v>
      </c>
      <c r="D33" s="148">
        <f>'C5C'!D180</f>
        <v>0</v>
      </c>
      <c r="E33" s="34">
        <f>'C5C'!E180</f>
        <v>0</v>
      </c>
      <c r="F33" s="34">
        <f>'C5C'!F180</f>
        <v>0</v>
      </c>
      <c r="G33" s="34">
        <f>'C5C'!G180</f>
        <v>0</v>
      </c>
      <c r="H33" s="34">
        <f>'C5C'!H180</f>
        <v>0</v>
      </c>
      <c r="I33" s="34">
        <f>'C5C'!I180</f>
        <v>0</v>
      </c>
      <c r="J33" s="160" t="str">
        <f t="shared" si="0"/>
        <v/>
      </c>
      <c r="K33" s="78">
        <f>'C5C'!K180</f>
        <v>0</v>
      </c>
      <c r="L33" s="318"/>
    </row>
    <row r="34" spans="1:12" ht="12.75" customHeight="1" x14ac:dyDescent="0.25">
      <c r="A34" s="30" t="str">
        <f>'Org structure'!A12</f>
        <v>Vote 11 - INFRASTRUCTURE SERVICES - CIVIL ENGINEERING SERVICES</v>
      </c>
      <c r="B34" s="193"/>
      <c r="C34" s="74">
        <f>'C5C'!C183</f>
        <v>2419465.92</v>
      </c>
      <c r="D34" s="148">
        <f>'C5C'!D183</f>
        <v>12100000</v>
      </c>
      <c r="E34" s="34">
        <f>'C5C'!E183</f>
        <v>5000000</v>
      </c>
      <c r="F34" s="34">
        <f>'C5C'!F183</f>
        <v>25585324.850000001</v>
      </c>
      <c r="G34" s="34">
        <f>'C5C'!G183</f>
        <v>29905884.359999999</v>
      </c>
      <c r="H34" s="34">
        <f>'C5C'!H183</f>
        <v>-672052.27</v>
      </c>
      <c r="I34" s="34">
        <f>'C5C'!I183</f>
        <v>30577936.629999999</v>
      </c>
      <c r="J34" s="160">
        <f t="shared" si="0"/>
        <v>-45.499342826414377</v>
      </c>
      <c r="K34" s="78">
        <f>'C5C'!K183</f>
        <v>5000000</v>
      </c>
      <c r="L34" s="318"/>
    </row>
    <row r="35" spans="1:12" ht="12.75" customHeight="1" x14ac:dyDescent="0.25">
      <c r="A35" s="30" t="str">
        <f>'Org structure'!A16</f>
        <v>Vote 12 - INFRASTRUCTURE SERVICES - ENGINEERING SERVICES</v>
      </c>
      <c r="B35" s="193"/>
      <c r="C35" s="74">
        <f>'C5C'!C197</f>
        <v>0</v>
      </c>
      <c r="D35" s="148">
        <f>'C5C'!D197</f>
        <v>8000</v>
      </c>
      <c r="E35" s="34">
        <f>'C5C'!E197</f>
        <v>8000</v>
      </c>
      <c r="F35" s="34">
        <f>'C5C'!F197</f>
        <v>0</v>
      </c>
      <c r="G35" s="34">
        <f>'C5C'!G197</f>
        <v>0</v>
      </c>
      <c r="H35" s="34">
        <f>'C5C'!H197</f>
        <v>0</v>
      </c>
      <c r="I35" s="34">
        <f>'C5C'!I197</f>
        <v>0</v>
      </c>
      <c r="J35" s="160" t="str">
        <f t="shared" si="0"/>
        <v/>
      </c>
      <c r="K35" s="78">
        <f>'C5C'!K197</f>
        <v>8000</v>
      </c>
      <c r="L35" s="318"/>
    </row>
    <row r="36" spans="1:12" ht="12.75" customHeight="1" x14ac:dyDescent="0.25">
      <c r="A36" s="30" t="str">
        <f>'Org structure'!A17</f>
        <v>Vote 13 - OFFICE OF THE MUNICIPAL MANAGER</v>
      </c>
      <c r="B36" s="193"/>
      <c r="C36" s="74">
        <f>'C5C'!C200</f>
        <v>82292.459999999992</v>
      </c>
      <c r="D36" s="148">
        <f>'C5C'!D200</f>
        <v>29000</v>
      </c>
      <c r="E36" s="34">
        <f>'C5C'!E200</f>
        <v>52000</v>
      </c>
      <c r="F36" s="34">
        <f>'C5C'!F200</f>
        <v>0</v>
      </c>
      <c r="G36" s="34">
        <f>'C5C'!G200</f>
        <v>15071.95</v>
      </c>
      <c r="H36" s="34">
        <f>'C5C'!H200</f>
        <v>15071.95</v>
      </c>
      <c r="I36" s="34">
        <f>'C5C'!I200</f>
        <v>0</v>
      </c>
      <c r="J36" s="160">
        <f t="shared" si="0"/>
        <v>0</v>
      </c>
      <c r="K36" s="78">
        <f>'C5C'!K200</f>
        <v>52000</v>
      </c>
      <c r="L36" s="318"/>
    </row>
    <row r="37" spans="1:12" ht="12.75" customHeight="1" x14ac:dyDescent="0.25">
      <c r="A37" s="30" t="str">
        <f>'Org structure'!A18</f>
        <v>Vote 14 - CORPORATE SERVICES - LEGAL SERVICES</v>
      </c>
      <c r="B37" s="193"/>
      <c r="C37" s="74">
        <f>'C5C'!C214</f>
        <v>0</v>
      </c>
      <c r="D37" s="148">
        <f>'C5C'!D214</f>
        <v>0</v>
      </c>
      <c r="E37" s="34">
        <f>'C5C'!E214</f>
        <v>0</v>
      </c>
      <c r="F37" s="34">
        <f>'C5C'!F214</f>
        <v>0</v>
      </c>
      <c r="G37" s="34">
        <f>'C5C'!G214</f>
        <v>0</v>
      </c>
      <c r="H37" s="34">
        <f>'C5C'!H214</f>
        <v>0</v>
      </c>
      <c r="I37" s="34">
        <f>'C5C'!I214</f>
        <v>0</v>
      </c>
      <c r="J37" s="160" t="str">
        <f t="shared" si="0"/>
        <v/>
      </c>
      <c r="K37" s="78">
        <f>'C5C'!K214</f>
        <v>0</v>
      </c>
      <c r="L37" s="318"/>
    </row>
    <row r="38" spans="1:12" ht="12.75" customHeight="1" x14ac:dyDescent="0.25">
      <c r="A38" s="30" t="str">
        <f>'Org structure'!A19</f>
        <v>Vote 15 - INFRASTRUCTURE SERVICES - INFRASTRUCTURE SUPPORT SERVICES</v>
      </c>
      <c r="B38" s="193"/>
      <c r="C38" s="74">
        <f>'C5C'!C216</f>
        <v>403695.67</v>
      </c>
      <c r="D38" s="148">
        <f>'C5C'!D216</f>
        <v>0</v>
      </c>
      <c r="E38" s="34">
        <f>'C5C'!E216</f>
        <v>0</v>
      </c>
      <c r="F38" s="34">
        <f>'C5C'!F216</f>
        <v>0</v>
      </c>
      <c r="G38" s="34">
        <f>'C5C'!G216</f>
        <v>0</v>
      </c>
      <c r="H38" s="34">
        <f>'C5C'!H216</f>
        <v>0</v>
      </c>
      <c r="I38" s="34">
        <f>'C5C'!I216</f>
        <v>0</v>
      </c>
      <c r="J38" s="160" t="str">
        <f t="shared" si="0"/>
        <v/>
      </c>
      <c r="K38" s="78">
        <f>'C5C'!K216</f>
        <v>0</v>
      </c>
      <c r="L38" s="318"/>
    </row>
    <row r="39" spans="1:12" ht="12.75" customHeight="1" x14ac:dyDescent="0.25">
      <c r="A39" s="164" t="s">
        <v>707</v>
      </c>
      <c r="B39" s="214">
        <v>4</v>
      </c>
      <c r="C39" s="151">
        <f t="shared" ref="C39:I39" si="3">SUM(C24:C38)</f>
        <v>35712240.25</v>
      </c>
      <c r="D39" s="152">
        <f t="shared" si="3"/>
        <v>45002000</v>
      </c>
      <c r="E39" s="85">
        <f t="shared" si="3"/>
        <v>41311200</v>
      </c>
      <c r="F39" s="85">
        <f t="shared" si="3"/>
        <v>25668986.91</v>
      </c>
      <c r="G39" s="85">
        <f t="shared" si="3"/>
        <v>41830179.579999998</v>
      </c>
      <c r="H39" s="85">
        <f t="shared" si="3"/>
        <v>23039454.18</v>
      </c>
      <c r="I39" s="52">
        <f t="shared" si="3"/>
        <v>18790725.399999999</v>
      </c>
      <c r="J39" s="673">
        <f t="shared" si="0"/>
        <v>0.81558900020781655</v>
      </c>
      <c r="K39" s="153">
        <f>SUM(K24:K38)</f>
        <v>41311200</v>
      </c>
    </row>
    <row r="40" spans="1:12" ht="12.75" customHeight="1" x14ac:dyDescent="0.25">
      <c r="A40" s="62" t="s">
        <v>708</v>
      </c>
      <c r="B40" s="194"/>
      <c r="C40" s="137">
        <f t="shared" ref="C40:I40" si="4">C39+C21</f>
        <v>797757097.44999993</v>
      </c>
      <c r="D40" s="150">
        <f t="shared" si="4"/>
        <v>610994000</v>
      </c>
      <c r="E40" s="52">
        <f t="shared" si="4"/>
        <v>627805200</v>
      </c>
      <c r="F40" s="52">
        <f t="shared" si="4"/>
        <v>32044528.370000001</v>
      </c>
      <c r="G40" s="52">
        <f t="shared" si="4"/>
        <v>404573982.09999996</v>
      </c>
      <c r="H40" s="52">
        <f t="shared" si="4"/>
        <v>495245934.40000004</v>
      </c>
      <c r="I40" s="52">
        <f t="shared" si="4"/>
        <v>-90671952.299999982</v>
      </c>
      <c r="J40" s="673">
        <f t="shared" si="0"/>
        <v>-0.18308469792861762</v>
      </c>
      <c r="K40" s="79">
        <f>K39+K21</f>
        <v>627805200</v>
      </c>
    </row>
    <row r="41" spans="1:12" ht="5.0999999999999996" customHeight="1" x14ac:dyDescent="0.25">
      <c r="A41" s="32"/>
      <c r="B41" s="193"/>
      <c r="C41" s="74"/>
      <c r="D41" s="148"/>
      <c r="E41" s="34"/>
      <c r="F41" s="34"/>
      <c r="G41" s="34"/>
      <c r="H41" s="34"/>
      <c r="I41" s="34"/>
      <c r="J41" s="160" t="str">
        <f t="shared" si="0"/>
        <v/>
      </c>
      <c r="K41" s="78"/>
    </row>
    <row r="42" spans="1:12" ht="12.75" customHeight="1" x14ac:dyDescent="0.25">
      <c r="A42" s="29" t="s">
        <v>1117</v>
      </c>
      <c r="B42" s="193"/>
      <c r="C42" s="74"/>
      <c r="D42" s="148"/>
      <c r="E42" s="34"/>
      <c r="F42" s="34"/>
      <c r="G42" s="34"/>
      <c r="H42" s="34"/>
      <c r="I42" s="34"/>
      <c r="J42" s="160" t="str">
        <f t="shared" si="0"/>
        <v/>
      </c>
      <c r="K42" s="78"/>
    </row>
    <row r="43" spans="1:12" ht="12.75" customHeight="1" x14ac:dyDescent="0.25">
      <c r="A43" s="311" t="s">
        <v>120</v>
      </c>
      <c r="B43" s="193"/>
      <c r="C43" s="96">
        <f t="shared" ref="C43:H43" si="5">SUM(C44:C46)</f>
        <v>19608748.630000003</v>
      </c>
      <c r="D43" s="39">
        <f t="shared" si="5"/>
        <v>58787000</v>
      </c>
      <c r="E43" s="149">
        <f t="shared" si="5"/>
        <v>65894700</v>
      </c>
      <c r="F43" s="38">
        <f t="shared" si="5"/>
        <v>155215.49</v>
      </c>
      <c r="G43" s="38">
        <f t="shared" si="5"/>
        <v>23725001.969999999</v>
      </c>
      <c r="H43" s="38">
        <f t="shared" si="5"/>
        <v>35715106.330000006</v>
      </c>
      <c r="I43" s="148">
        <f t="shared" ref="I43:I74" si="6">G43-H43</f>
        <v>-11990104.360000007</v>
      </c>
      <c r="J43" s="160">
        <f t="shared" si="0"/>
        <v>-0.33571520827108803</v>
      </c>
      <c r="K43" s="96">
        <f>SUM(K44:K46)</f>
        <v>65894700</v>
      </c>
    </row>
    <row r="44" spans="1:12" ht="12.75" customHeight="1" x14ac:dyDescent="0.25">
      <c r="A44" s="67" t="s">
        <v>91</v>
      </c>
      <c r="B44" s="193"/>
      <c r="C44" s="366">
        <f>'C5-CQ'!B5</f>
        <v>82292.460000000006</v>
      </c>
      <c r="D44" s="366">
        <f>'C5-CQ'!C5</f>
        <v>36000</v>
      </c>
      <c r="E44" s="331">
        <f>'C5-CQ'!D5</f>
        <v>52000</v>
      </c>
      <c r="F44" s="331">
        <f>'C5-CQ'!E5</f>
        <v>0</v>
      </c>
      <c r="G44" s="331">
        <f>'C5-CQ'!F5</f>
        <v>15071.95</v>
      </c>
      <c r="H44" s="331">
        <f>'C5-CQ'!G5</f>
        <v>15071.95</v>
      </c>
      <c r="I44" s="148">
        <f t="shared" si="6"/>
        <v>0</v>
      </c>
      <c r="J44" s="351">
        <f t="shared" si="0"/>
        <v>0</v>
      </c>
      <c r="K44" s="332">
        <f>'C5-CQ'!J5</f>
        <v>52000</v>
      </c>
    </row>
    <row r="45" spans="1:12" ht="12.75" customHeight="1" x14ac:dyDescent="0.25">
      <c r="A45" s="67" t="s">
        <v>1026</v>
      </c>
      <c r="B45" s="193"/>
      <c r="C45" s="366">
        <f>'C5-CQ'!B6</f>
        <v>19526456.170000002</v>
      </c>
      <c r="D45" s="366">
        <f>'C5-CQ'!C6</f>
        <v>58751000</v>
      </c>
      <c r="E45" s="331">
        <f>'C5-CQ'!D6</f>
        <v>65842700</v>
      </c>
      <c r="F45" s="331">
        <f>'C5-CQ'!E6</f>
        <v>155215.49</v>
      </c>
      <c r="G45" s="331">
        <f>'C5-CQ'!F6</f>
        <v>23709930.02</v>
      </c>
      <c r="H45" s="331">
        <f>'C5-CQ'!G6</f>
        <v>35700034.380000003</v>
      </c>
      <c r="I45" s="148">
        <f t="shared" si="6"/>
        <v>-11990104.360000003</v>
      </c>
      <c r="J45" s="351">
        <f t="shared" si="0"/>
        <v>-0.33585694154729279</v>
      </c>
      <c r="K45" s="332">
        <f>'C5-CQ'!J6</f>
        <v>65842700</v>
      </c>
    </row>
    <row r="46" spans="1:12" ht="12.75" customHeight="1" x14ac:dyDescent="0.25">
      <c r="A46" s="67" t="s">
        <v>1037</v>
      </c>
      <c r="B46" s="193"/>
      <c r="C46" s="366">
        <f>'C5-CQ'!B7</f>
        <v>0</v>
      </c>
      <c r="D46" s="366">
        <f>'C5-CQ'!C7</f>
        <v>0</v>
      </c>
      <c r="E46" s="331">
        <f>'C5-CQ'!D7</f>
        <v>0</v>
      </c>
      <c r="F46" s="331">
        <f>'C5-CQ'!E7</f>
        <v>0</v>
      </c>
      <c r="G46" s="331">
        <f>'C5-CQ'!F7</f>
        <v>0</v>
      </c>
      <c r="H46" s="331">
        <f>'C5-CQ'!G7</f>
        <v>0</v>
      </c>
      <c r="I46" s="148">
        <f t="shared" si="6"/>
        <v>0</v>
      </c>
      <c r="J46" s="351" t="str">
        <f t="shared" si="0"/>
        <v/>
      </c>
      <c r="K46" s="332">
        <f>'C5-CQ'!J7</f>
        <v>0</v>
      </c>
    </row>
    <row r="47" spans="1:12" ht="12.75" customHeight="1" x14ac:dyDescent="0.25">
      <c r="A47" s="311" t="s">
        <v>92</v>
      </c>
      <c r="B47" s="193"/>
      <c r="C47" s="96">
        <f t="shared" ref="C47:H47" si="7">SUM(C48:C52)</f>
        <v>123243350.45999999</v>
      </c>
      <c r="D47" s="39">
        <f t="shared" si="7"/>
        <v>32483000</v>
      </c>
      <c r="E47" s="38">
        <f t="shared" si="7"/>
        <v>46126400</v>
      </c>
      <c r="F47" s="38">
        <f t="shared" si="7"/>
        <v>16240694.48</v>
      </c>
      <c r="G47" s="38">
        <f t="shared" si="7"/>
        <v>39843968.93</v>
      </c>
      <c r="H47" s="38">
        <f t="shared" si="7"/>
        <v>32993653.309999999</v>
      </c>
      <c r="I47" s="148">
        <f t="shared" si="6"/>
        <v>6850315.620000001</v>
      </c>
      <c r="J47" s="351">
        <f t="shared" si="0"/>
        <v>0.20762525312478047</v>
      </c>
      <c r="K47" s="96">
        <f>SUM(K48:K52)</f>
        <v>46126400</v>
      </c>
    </row>
    <row r="48" spans="1:12" ht="12.75" customHeight="1" x14ac:dyDescent="0.25">
      <c r="A48" s="67" t="s">
        <v>93</v>
      </c>
      <c r="B48" s="193"/>
      <c r="C48" s="366">
        <f>'C5-CQ'!B9</f>
        <v>54050933.079999998</v>
      </c>
      <c r="D48" s="366">
        <f>'C5-CQ'!C9</f>
        <v>9249000</v>
      </c>
      <c r="E48" s="331">
        <f>'C5-CQ'!D9</f>
        <v>11135700</v>
      </c>
      <c r="F48" s="331">
        <f>'C5-CQ'!E9</f>
        <v>43181</v>
      </c>
      <c r="G48" s="331">
        <f>'C5-CQ'!F9</f>
        <v>442833.54</v>
      </c>
      <c r="H48" s="331">
        <f>'C5-CQ'!G9</f>
        <v>8138576.54</v>
      </c>
      <c r="I48" s="148">
        <f t="shared" si="6"/>
        <v>-7695743</v>
      </c>
      <c r="J48" s="351">
        <f t="shared" si="0"/>
        <v>-0.94558833011847543</v>
      </c>
      <c r="K48" s="332">
        <f>'C5-CQ'!J9</f>
        <v>11135700</v>
      </c>
    </row>
    <row r="49" spans="1:11" ht="12.75" customHeight="1" x14ac:dyDescent="0.25">
      <c r="A49" s="67" t="s">
        <v>94</v>
      </c>
      <c r="B49" s="193"/>
      <c r="C49" s="366">
        <f>'C5-CQ'!B10</f>
        <v>68300054.109999999</v>
      </c>
      <c r="D49" s="366">
        <f>'C5-CQ'!C10</f>
        <v>19361000</v>
      </c>
      <c r="E49" s="331">
        <f>'C5-CQ'!D10</f>
        <v>31117700</v>
      </c>
      <c r="F49" s="331">
        <f>'C5-CQ'!E10</f>
        <v>16197513.48</v>
      </c>
      <c r="G49" s="331">
        <f>'C5-CQ'!F10</f>
        <v>39401135.390000001</v>
      </c>
      <c r="H49" s="331">
        <f>'C5-CQ'!G10</f>
        <v>22911076.77</v>
      </c>
      <c r="I49" s="148">
        <f t="shared" si="6"/>
        <v>16490058.620000001</v>
      </c>
      <c r="J49" s="351">
        <f t="shared" si="0"/>
        <v>0.71974175572543386</v>
      </c>
      <c r="K49" s="332">
        <f>'C5-CQ'!J10</f>
        <v>31117700</v>
      </c>
    </row>
    <row r="50" spans="1:11" ht="12.75" customHeight="1" x14ac:dyDescent="0.25">
      <c r="A50" s="67" t="s">
        <v>95</v>
      </c>
      <c r="B50" s="193"/>
      <c r="C50" s="366">
        <f>'C5-CQ'!B11</f>
        <v>892363.27</v>
      </c>
      <c r="D50" s="366">
        <f>'C5-CQ'!C11</f>
        <v>675000</v>
      </c>
      <c r="E50" s="331">
        <f>'C5-CQ'!D11</f>
        <v>675000</v>
      </c>
      <c r="F50" s="331">
        <f>'C5-CQ'!E11</f>
        <v>0</v>
      </c>
      <c r="G50" s="331">
        <f>'C5-CQ'!F11</f>
        <v>0</v>
      </c>
      <c r="H50" s="331">
        <f>'C5-CQ'!G11</f>
        <v>345000</v>
      </c>
      <c r="I50" s="148">
        <f t="shared" si="6"/>
        <v>-345000</v>
      </c>
      <c r="J50" s="351">
        <f t="shared" si="0"/>
        <v>-1</v>
      </c>
      <c r="K50" s="332">
        <f>'C5-CQ'!J11</f>
        <v>675000</v>
      </c>
    </row>
    <row r="51" spans="1:11" ht="12.75" customHeight="1" x14ac:dyDescent="0.25">
      <c r="A51" s="67" t="s">
        <v>659</v>
      </c>
      <c r="B51" s="193"/>
      <c r="C51" s="366">
        <f>'C5-CQ'!B12</f>
        <v>0</v>
      </c>
      <c r="D51" s="366">
        <f>'C5-CQ'!C12</f>
        <v>3198000</v>
      </c>
      <c r="E51" s="331">
        <f>'C5-CQ'!D12</f>
        <v>3198000</v>
      </c>
      <c r="F51" s="331">
        <f>'C5-CQ'!E12</f>
        <v>0</v>
      </c>
      <c r="G51" s="331">
        <f>'C5-CQ'!F12</f>
        <v>0</v>
      </c>
      <c r="H51" s="331">
        <f>'C5-CQ'!G12</f>
        <v>1599000</v>
      </c>
      <c r="I51" s="148">
        <f t="shared" si="6"/>
        <v>-1599000</v>
      </c>
      <c r="J51" s="351">
        <f t="shared" si="0"/>
        <v>-1</v>
      </c>
      <c r="K51" s="332">
        <f>'C5-CQ'!J12</f>
        <v>3198000</v>
      </c>
    </row>
    <row r="52" spans="1:11" ht="12.75" customHeight="1" x14ac:dyDescent="0.25">
      <c r="A52" s="67" t="s">
        <v>559</v>
      </c>
      <c r="B52" s="193"/>
      <c r="C52" s="366">
        <f>'C5-CQ'!B13</f>
        <v>0</v>
      </c>
      <c r="D52" s="366">
        <f>'C5-CQ'!C13</f>
        <v>0</v>
      </c>
      <c r="E52" s="331">
        <f>'C5-CQ'!D13</f>
        <v>0</v>
      </c>
      <c r="F52" s="331">
        <f>'C5-CQ'!E13</f>
        <v>0</v>
      </c>
      <c r="G52" s="331">
        <f>'C5-CQ'!F13</f>
        <v>0</v>
      </c>
      <c r="H52" s="331">
        <f>'C5-CQ'!G13</f>
        <v>0</v>
      </c>
      <c r="I52" s="148">
        <f t="shared" si="6"/>
        <v>0</v>
      </c>
      <c r="J52" s="351" t="str">
        <f t="shared" si="0"/>
        <v/>
      </c>
      <c r="K52" s="332">
        <f>'C5-CQ'!J13</f>
        <v>0</v>
      </c>
    </row>
    <row r="53" spans="1:11" ht="12.75" customHeight="1" x14ac:dyDescent="0.25">
      <c r="A53" s="311" t="s">
        <v>96</v>
      </c>
      <c r="B53" s="193"/>
      <c r="C53" s="96">
        <f t="shared" ref="C53:H53" si="8">SUM(C54:C56)</f>
        <v>143673170.5</v>
      </c>
      <c r="D53" s="39">
        <f t="shared" si="8"/>
        <v>104276000</v>
      </c>
      <c r="E53" s="38">
        <f t="shared" si="8"/>
        <v>146181500</v>
      </c>
      <c r="F53" s="38">
        <f t="shared" si="8"/>
        <v>511442.64</v>
      </c>
      <c r="G53" s="38">
        <f t="shared" si="8"/>
        <v>89544310.859999999</v>
      </c>
      <c r="H53" s="38">
        <f t="shared" si="8"/>
        <v>125448788.64999999</v>
      </c>
      <c r="I53" s="148">
        <f t="shared" si="6"/>
        <v>-35904477.789999992</v>
      </c>
      <c r="J53" s="351">
        <f t="shared" si="0"/>
        <v>-0.28620824622047869</v>
      </c>
      <c r="K53" s="96">
        <f>SUM(K54:K56)</f>
        <v>146181500</v>
      </c>
    </row>
    <row r="54" spans="1:11" ht="12.75" customHeight="1" x14ac:dyDescent="0.25">
      <c r="A54" s="67" t="s">
        <v>97</v>
      </c>
      <c r="B54" s="193"/>
      <c r="C54" s="366">
        <f>'C5-CQ'!B15</f>
        <v>17201623.140000001</v>
      </c>
      <c r="D54" s="366">
        <f>'C5-CQ'!C15</f>
        <v>35175000</v>
      </c>
      <c r="E54" s="331">
        <f>'C5-CQ'!D15</f>
        <v>49075000</v>
      </c>
      <c r="F54" s="331">
        <f>'C5-CQ'!E15</f>
        <v>0</v>
      </c>
      <c r="G54" s="331">
        <f>'C5-CQ'!F15</f>
        <v>12370406.369999999</v>
      </c>
      <c r="H54" s="331">
        <f>'C5-CQ'!G15</f>
        <v>23149175.800000001</v>
      </c>
      <c r="I54" s="148">
        <f t="shared" si="6"/>
        <v>-10778769.430000002</v>
      </c>
      <c r="J54" s="351">
        <f t="shared" si="0"/>
        <v>-0.46562216828471281</v>
      </c>
      <c r="K54" s="332">
        <f>'C5-CQ'!J15</f>
        <v>49075000</v>
      </c>
    </row>
    <row r="55" spans="1:11" ht="12.75" customHeight="1" x14ac:dyDescent="0.25">
      <c r="A55" s="67" t="s">
        <v>98</v>
      </c>
      <c r="B55" s="193"/>
      <c r="C55" s="366">
        <f>'C5-CQ'!B16</f>
        <v>121551536.18000001</v>
      </c>
      <c r="D55" s="366">
        <f>'C5-CQ'!C16</f>
        <v>69023000</v>
      </c>
      <c r="E55" s="331">
        <f>'C5-CQ'!D16</f>
        <v>97028500</v>
      </c>
      <c r="F55" s="331">
        <f>'C5-CQ'!E16</f>
        <v>511442.64</v>
      </c>
      <c r="G55" s="331">
        <f>'C5-CQ'!F16</f>
        <v>77173904.489999995</v>
      </c>
      <c r="H55" s="331">
        <f>'C5-CQ'!G16</f>
        <v>102221612.84999999</v>
      </c>
      <c r="I55" s="148">
        <f t="shared" si="6"/>
        <v>-25047708.359999999</v>
      </c>
      <c r="J55" s="351">
        <f t="shared" si="0"/>
        <v>-0.24503339031399368</v>
      </c>
      <c r="K55" s="332">
        <f>'C5-CQ'!J16</f>
        <v>97028500</v>
      </c>
    </row>
    <row r="56" spans="1:11" ht="12.75" customHeight="1" x14ac:dyDescent="0.25">
      <c r="A56" s="67" t="s">
        <v>99</v>
      </c>
      <c r="B56" s="193"/>
      <c r="C56" s="366">
        <f>'C5-CQ'!B17</f>
        <v>4920011.18</v>
      </c>
      <c r="D56" s="366">
        <f>'C5-CQ'!C17</f>
        <v>78000</v>
      </c>
      <c r="E56" s="331">
        <f>'C5-CQ'!D17</f>
        <v>78000</v>
      </c>
      <c r="F56" s="331">
        <f>'C5-CQ'!E17</f>
        <v>0</v>
      </c>
      <c r="G56" s="331">
        <f>'C5-CQ'!F17</f>
        <v>0</v>
      </c>
      <c r="H56" s="331">
        <f>'C5-CQ'!G17</f>
        <v>78000</v>
      </c>
      <c r="I56" s="148">
        <f t="shared" si="6"/>
        <v>-78000</v>
      </c>
      <c r="J56" s="351">
        <f t="shared" si="0"/>
        <v>-1</v>
      </c>
      <c r="K56" s="332">
        <f>'C5-CQ'!J17</f>
        <v>78000</v>
      </c>
    </row>
    <row r="57" spans="1:11" ht="12.75" customHeight="1" x14ac:dyDescent="0.25">
      <c r="A57" s="311" t="s">
        <v>100</v>
      </c>
      <c r="B57" s="193"/>
      <c r="C57" s="96">
        <f t="shared" ref="C57:H57" si="9">SUM(C58:C61)</f>
        <v>492577362.31999999</v>
      </c>
      <c r="D57" s="39">
        <f t="shared" si="9"/>
        <v>403049000</v>
      </c>
      <c r="E57" s="38">
        <f t="shared" si="9"/>
        <v>357203600</v>
      </c>
      <c r="F57" s="38">
        <f t="shared" si="9"/>
        <v>15137175.760000002</v>
      </c>
      <c r="G57" s="38">
        <f t="shared" si="9"/>
        <v>240890706.34000003</v>
      </c>
      <c r="H57" s="38">
        <f t="shared" si="9"/>
        <v>288709299.10999995</v>
      </c>
      <c r="I57" s="148">
        <f t="shared" si="6"/>
        <v>-47818592.769999921</v>
      </c>
      <c r="J57" s="351">
        <f t="shared" si="0"/>
        <v>-0.16562886237959643</v>
      </c>
      <c r="K57" s="96">
        <f>SUM(K58:K61)</f>
        <v>357203600</v>
      </c>
    </row>
    <row r="58" spans="1:11" ht="12.75" customHeight="1" x14ac:dyDescent="0.25">
      <c r="A58" s="67" t="s">
        <v>1094</v>
      </c>
      <c r="B58" s="193"/>
      <c r="C58" s="366">
        <f>'C5-CQ'!B19</f>
        <v>91515410.310000002</v>
      </c>
      <c r="D58" s="366">
        <f>'C5-CQ'!C19</f>
        <v>76690300</v>
      </c>
      <c r="E58" s="331">
        <f>'C5-CQ'!D19</f>
        <v>76690300</v>
      </c>
      <c r="F58" s="331">
        <f>'C5-CQ'!E19</f>
        <v>7832982.2999999998</v>
      </c>
      <c r="G58" s="331">
        <f>'C5-CQ'!F19</f>
        <v>15142227.279999999</v>
      </c>
      <c r="H58" s="331">
        <f>'C5-CQ'!G19</f>
        <v>38922564.700000003</v>
      </c>
      <c r="I58" s="148">
        <f t="shared" si="6"/>
        <v>-23780337.420000002</v>
      </c>
      <c r="J58" s="351">
        <f t="shared" si="0"/>
        <v>-0.61096532572531126</v>
      </c>
      <c r="K58" s="332">
        <f>'C5-CQ'!J19</f>
        <v>76690300</v>
      </c>
    </row>
    <row r="59" spans="1:11" ht="12.75" customHeight="1" x14ac:dyDescent="0.25">
      <c r="A59" s="67" t="s">
        <v>1098</v>
      </c>
      <c r="B59" s="193"/>
      <c r="C59" s="366">
        <f>'C5-CQ'!B20</f>
        <v>301685031.80000001</v>
      </c>
      <c r="D59" s="366">
        <f>'C5-CQ'!C20</f>
        <v>246308700</v>
      </c>
      <c r="E59" s="331">
        <f>'C5-CQ'!D20</f>
        <v>202882200</v>
      </c>
      <c r="F59" s="331">
        <f>'C5-CQ'!E20</f>
        <v>6500602.9100000001</v>
      </c>
      <c r="G59" s="331">
        <f>'C5-CQ'!F20</f>
        <v>157122255.30000001</v>
      </c>
      <c r="H59" s="331">
        <f>'C5-CQ'!G20</f>
        <v>178240376.69999999</v>
      </c>
      <c r="I59" s="148">
        <f t="shared" si="6"/>
        <v>-21118121.399999976</v>
      </c>
      <c r="J59" s="351">
        <f t="shared" si="0"/>
        <v>-0.11848113088059906</v>
      </c>
      <c r="K59" s="332">
        <f>'C5-CQ'!J20</f>
        <v>202882200</v>
      </c>
    </row>
    <row r="60" spans="1:11" ht="12.75" customHeight="1" x14ac:dyDescent="0.25">
      <c r="A60" s="67" t="s">
        <v>101</v>
      </c>
      <c r="B60" s="193"/>
      <c r="C60" s="366">
        <f>'C5-CQ'!B21</f>
        <v>97217858.510000005</v>
      </c>
      <c r="D60" s="366">
        <f>'C5-CQ'!C21</f>
        <v>64815000</v>
      </c>
      <c r="E60" s="331">
        <f>'C5-CQ'!D21</f>
        <v>65815100</v>
      </c>
      <c r="F60" s="331">
        <f>'C5-CQ'!E21</f>
        <v>803590.55</v>
      </c>
      <c r="G60" s="331">
        <f>'C5-CQ'!F21</f>
        <v>68626223.760000005</v>
      </c>
      <c r="H60" s="331">
        <f>'C5-CQ'!G21</f>
        <v>61860357.710000001</v>
      </c>
      <c r="I60" s="148">
        <f t="shared" si="6"/>
        <v>6765866.0500000045</v>
      </c>
      <c r="J60" s="351">
        <f t="shared" si="0"/>
        <v>0.10937321251387255</v>
      </c>
      <c r="K60" s="332">
        <f>'C5-CQ'!J21</f>
        <v>65815100</v>
      </c>
    </row>
    <row r="61" spans="1:11" ht="12.75" customHeight="1" x14ac:dyDescent="0.25">
      <c r="A61" s="67" t="s">
        <v>102</v>
      </c>
      <c r="B61" s="193"/>
      <c r="C61" s="366">
        <f>'C5-CQ'!B22</f>
        <v>2159061.7000000002</v>
      </c>
      <c r="D61" s="366">
        <f>'C5-CQ'!C22</f>
        <v>15235000</v>
      </c>
      <c r="E61" s="331">
        <f>'C5-CQ'!D22</f>
        <v>11816000</v>
      </c>
      <c r="F61" s="331">
        <f>'C5-CQ'!E22</f>
        <v>0</v>
      </c>
      <c r="G61" s="331">
        <f>'C5-CQ'!F22</f>
        <v>0</v>
      </c>
      <c r="H61" s="331">
        <f>'C5-CQ'!G22</f>
        <v>9686000</v>
      </c>
      <c r="I61" s="148">
        <f t="shared" si="6"/>
        <v>-9686000</v>
      </c>
      <c r="J61" s="351">
        <f t="shared" si="0"/>
        <v>-1</v>
      </c>
      <c r="K61" s="367">
        <f>'C5-CQ'!J22</f>
        <v>11816000</v>
      </c>
    </row>
    <row r="62" spans="1:11" ht="12.75" customHeight="1" x14ac:dyDescent="0.25">
      <c r="A62" s="311" t="s">
        <v>666</v>
      </c>
      <c r="B62" s="193"/>
      <c r="C62" s="366">
        <f>'C5-CQ'!B23</f>
        <v>18654465.539999999</v>
      </c>
      <c r="D62" s="366">
        <f>'C5-CQ'!C23</f>
        <v>12399000</v>
      </c>
      <c r="E62" s="392">
        <f>'C5-CQ'!D23</f>
        <v>12399000</v>
      </c>
      <c r="F62" s="415">
        <f>'C5-CQ'!E23</f>
        <v>0</v>
      </c>
      <c r="G62" s="392">
        <f>'C5-CQ'!F23</f>
        <v>10569994</v>
      </c>
      <c r="H62" s="415">
        <f>'C5-CQ'!G23</f>
        <v>12379087</v>
      </c>
      <c r="I62" s="65">
        <f t="shared" si="6"/>
        <v>-1809093</v>
      </c>
      <c r="J62" s="674">
        <f t="shared" si="0"/>
        <v>-0.14614106840027863</v>
      </c>
      <c r="K62" s="367">
        <f>'C5-CQ'!J23</f>
        <v>12399000</v>
      </c>
    </row>
    <row r="63" spans="1:11" ht="12.75" customHeight="1" x14ac:dyDescent="0.25">
      <c r="A63" s="215" t="s">
        <v>1116</v>
      </c>
      <c r="B63" s="217">
        <v>3</v>
      </c>
      <c r="C63" s="71">
        <f>C43+C47+C53+C57+C62</f>
        <v>797757097.45000005</v>
      </c>
      <c r="D63" s="42">
        <f t="shared" ref="D63:H63" si="10">D43+D47+D53+D57+D62</f>
        <v>610994000</v>
      </c>
      <c r="E63" s="41">
        <f t="shared" si="10"/>
        <v>627805200</v>
      </c>
      <c r="F63" s="41">
        <f t="shared" si="10"/>
        <v>32044528.370000001</v>
      </c>
      <c r="G63" s="41">
        <f t="shared" si="10"/>
        <v>404573982.10000002</v>
      </c>
      <c r="H63" s="41">
        <f t="shared" si="10"/>
        <v>495245934.39999998</v>
      </c>
      <c r="I63" s="148">
        <f t="shared" si="6"/>
        <v>-90671952.299999952</v>
      </c>
      <c r="J63" s="675">
        <f t="shared" si="0"/>
        <v>-0.18308469792861759</v>
      </c>
      <c r="K63" s="491">
        <f>K43+K47+K53+K57+K62</f>
        <v>627805200</v>
      </c>
    </row>
    <row r="64" spans="1:11" ht="5.0999999999999996" customHeight="1" x14ac:dyDescent="0.25">
      <c r="A64" s="31"/>
      <c r="B64" s="90"/>
      <c r="C64" s="74"/>
      <c r="D64" s="36"/>
      <c r="E64" s="34"/>
      <c r="F64" s="34"/>
      <c r="G64" s="34"/>
      <c r="H64" s="34"/>
      <c r="I64" s="364">
        <f t="shared" si="6"/>
        <v>0</v>
      </c>
      <c r="J64" s="351" t="str">
        <f t="shared" si="0"/>
        <v/>
      </c>
      <c r="K64" s="35"/>
    </row>
    <row r="65" spans="1:12" ht="12.75" customHeight="1" x14ac:dyDescent="0.25">
      <c r="A65" s="29" t="s">
        <v>428</v>
      </c>
      <c r="B65" s="90"/>
      <c r="C65" s="74"/>
      <c r="D65" s="36"/>
      <c r="E65" s="34"/>
      <c r="F65" s="34"/>
      <c r="G65" s="34"/>
      <c r="H65" s="34"/>
      <c r="I65" s="148">
        <f t="shared" si="6"/>
        <v>0</v>
      </c>
      <c r="J65" s="351" t="str">
        <f t="shared" si="0"/>
        <v/>
      </c>
      <c r="K65" s="35"/>
    </row>
    <row r="66" spans="1:12" ht="12.75" customHeight="1" x14ac:dyDescent="0.25">
      <c r="A66" s="67" t="s">
        <v>405</v>
      </c>
      <c r="B66" s="90"/>
      <c r="C66" s="366">
        <f>'C5-CQ'!O5</f>
        <v>237230293.97</v>
      </c>
      <c r="D66" s="366">
        <f>'C5-CQ'!P5</f>
        <v>218503000</v>
      </c>
      <c r="E66" s="331">
        <f>'C5-CQ'!Q5</f>
        <v>226375600</v>
      </c>
      <c r="F66" s="331">
        <f>'C5-CQ'!R5</f>
        <v>-1401060.07</v>
      </c>
      <c r="G66" s="331">
        <f>'C5-CQ'!S5</f>
        <v>148466257.03999999</v>
      </c>
      <c r="H66" s="331">
        <f>'C5-CQ'!T5</f>
        <v>215682152.19</v>
      </c>
      <c r="I66" s="148">
        <f t="shared" si="6"/>
        <v>-67215895.150000006</v>
      </c>
      <c r="J66" s="351">
        <f t="shared" si="0"/>
        <v>-0.31164328836438809</v>
      </c>
      <c r="K66" s="367">
        <f>'C5-CQ'!W5</f>
        <v>226375600</v>
      </c>
    </row>
    <row r="67" spans="1:12" ht="12.75" customHeight="1" x14ac:dyDescent="0.25">
      <c r="A67" s="67" t="s">
        <v>552</v>
      </c>
      <c r="B67" s="90"/>
      <c r="C67" s="366">
        <f>'C5-CQ'!O6</f>
        <v>193113.8</v>
      </c>
      <c r="D67" s="366">
        <f>'C5-CQ'!P6</f>
        <v>500000</v>
      </c>
      <c r="E67" s="331">
        <f>'C5-CQ'!Q6</f>
        <v>632500</v>
      </c>
      <c r="F67" s="331">
        <f>'C5-CQ'!R6</f>
        <v>0</v>
      </c>
      <c r="G67" s="331">
        <f>'C5-CQ'!S6</f>
        <v>565420</v>
      </c>
      <c r="H67" s="331">
        <f>'C5-CQ'!T6</f>
        <v>101000</v>
      </c>
      <c r="I67" s="148">
        <f t="shared" si="6"/>
        <v>464420</v>
      </c>
      <c r="J67" s="351">
        <f t="shared" si="0"/>
        <v>4.5982178217821783</v>
      </c>
      <c r="K67" s="367">
        <f>'C5-CQ'!W6</f>
        <v>632500</v>
      </c>
    </row>
    <row r="68" spans="1:12" ht="12.75" customHeight="1" x14ac:dyDescent="0.25">
      <c r="A68" s="67" t="s">
        <v>553</v>
      </c>
      <c r="B68" s="90"/>
      <c r="C68" s="366"/>
      <c r="D68" s="366"/>
      <c r="E68" s="331"/>
      <c r="F68" s="331"/>
      <c r="G68" s="331"/>
      <c r="H68" s="331"/>
      <c r="I68" s="148">
        <f t="shared" si="6"/>
        <v>0</v>
      </c>
      <c r="J68" s="351" t="str">
        <f t="shared" si="0"/>
        <v/>
      </c>
      <c r="K68" s="367"/>
    </row>
    <row r="69" spans="1:12" ht="38.25" x14ac:dyDescent="0.25">
      <c r="A69" s="619" t="s">
        <v>1355</v>
      </c>
      <c r="B69" s="141"/>
      <c r="C69" s="366">
        <f>'C5-CQ'!O7</f>
        <v>2193606.1800000002</v>
      </c>
      <c r="D69" s="391">
        <f>'C5-CQ'!P7</f>
        <v>0</v>
      </c>
      <c r="E69" s="392">
        <f>'C5-CQ'!Q7</f>
        <v>0</v>
      </c>
      <c r="F69" s="392">
        <f>'C5-CQ'!R7</f>
        <v>0</v>
      </c>
      <c r="G69" s="392">
        <f>'C5-CQ'!S7</f>
        <v>0</v>
      </c>
      <c r="H69" s="392">
        <f>'C5-CQ'!T7</f>
        <v>0</v>
      </c>
      <c r="I69" s="608">
        <f t="shared" si="6"/>
        <v>0</v>
      </c>
      <c r="J69" s="674" t="str">
        <f t="shared" si="0"/>
        <v/>
      </c>
      <c r="K69" s="393">
        <f>'C5-CQ'!W7</f>
        <v>0</v>
      </c>
    </row>
    <row r="70" spans="1:12" ht="12.75" customHeight="1" x14ac:dyDescent="0.25">
      <c r="A70" s="66" t="s">
        <v>884</v>
      </c>
      <c r="B70" s="90"/>
      <c r="C70" s="212">
        <f t="shared" ref="C70:H70" si="11">SUM(C66:C69)</f>
        <v>239617013.95000002</v>
      </c>
      <c r="D70" s="39">
        <f t="shared" si="11"/>
        <v>219003000</v>
      </c>
      <c r="E70" s="38">
        <f t="shared" si="11"/>
        <v>227008100</v>
      </c>
      <c r="F70" s="38">
        <f t="shared" si="11"/>
        <v>-1401060.07</v>
      </c>
      <c r="G70" s="38">
        <f t="shared" si="11"/>
        <v>149031677.03999999</v>
      </c>
      <c r="H70" s="38">
        <f t="shared" si="11"/>
        <v>215783152.19</v>
      </c>
      <c r="I70" s="148">
        <f t="shared" si="6"/>
        <v>-66751475.150000006</v>
      </c>
      <c r="J70" s="351">
        <f t="shared" si="0"/>
        <v>-0.30934516653656269</v>
      </c>
      <c r="K70" s="96">
        <f>SUM(K66:K69)</f>
        <v>227008100</v>
      </c>
      <c r="L70" s="319"/>
    </row>
    <row r="71" spans="1:12" ht="1.1499999999999999" customHeight="1" x14ac:dyDescent="0.25">
      <c r="A71" s="66"/>
      <c r="B71" s="90"/>
      <c r="C71" s="74"/>
      <c r="D71" s="36"/>
      <c r="E71" s="34"/>
      <c r="F71" s="34"/>
      <c r="G71" s="34"/>
      <c r="H71" s="34"/>
      <c r="I71" s="148">
        <f t="shared" si="6"/>
        <v>0</v>
      </c>
      <c r="J71" s="351" t="str">
        <f t="shared" ref="J71:J74" si="12">IF(H71=0,"",I71/H71)</f>
        <v/>
      </c>
      <c r="K71" s="78"/>
    </row>
    <row r="72" spans="1:12" ht="12.75" customHeight="1" x14ac:dyDescent="0.25">
      <c r="A72" s="66" t="s">
        <v>725</v>
      </c>
      <c r="B72" s="90">
        <v>6</v>
      </c>
      <c r="C72" s="366">
        <f>'C5-CQ'!O8</f>
        <v>387280101.69</v>
      </c>
      <c r="D72" s="366">
        <f>'C5-CQ'!P8</f>
        <v>380000000</v>
      </c>
      <c r="E72" s="331">
        <f>'C5-CQ'!Q8</f>
        <v>380157400</v>
      </c>
      <c r="F72" s="331">
        <f>'C5-CQ'!R8</f>
        <v>6400345.3300000001</v>
      </c>
      <c r="G72" s="331">
        <f>'C5-CQ'!S8</f>
        <v>224096134.63999999</v>
      </c>
      <c r="H72" s="331">
        <f>'C5-CQ'!T8</f>
        <v>263512110.40000001</v>
      </c>
      <c r="I72" s="148">
        <f t="shared" si="6"/>
        <v>-39415975.76000002</v>
      </c>
      <c r="J72" s="351">
        <f t="shared" si="12"/>
        <v>-0.14957937113466349</v>
      </c>
      <c r="K72" s="332">
        <f>'C5-CQ'!W8</f>
        <v>380157400</v>
      </c>
    </row>
    <row r="73" spans="1:12" ht="12.75" customHeight="1" x14ac:dyDescent="0.25">
      <c r="A73" s="66" t="s">
        <v>429</v>
      </c>
      <c r="B73" s="141"/>
      <c r="C73" s="366">
        <f>'C5-CQ'!O9</f>
        <v>170827006.81</v>
      </c>
      <c r="D73" s="366">
        <f>'C5-CQ'!P9</f>
        <v>11991000</v>
      </c>
      <c r="E73" s="331">
        <f>'C5-CQ'!Q9</f>
        <v>20639700</v>
      </c>
      <c r="F73" s="331">
        <f>'C5-CQ'!R9</f>
        <v>27045243.109999999</v>
      </c>
      <c r="G73" s="331">
        <f>'C5-CQ'!S9</f>
        <v>31446170.420000002</v>
      </c>
      <c r="H73" s="331">
        <f>'C5-CQ'!T9</f>
        <v>15950671.810000001</v>
      </c>
      <c r="I73" s="148">
        <f t="shared" si="6"/>
        <v>15495498.610000001</v>
      </c>
      <c r="J73" s="351">
        <f t="shared" si="12"/>
        <v>0.97146369723972148</v>
      </c>
      <c r="K73" s="367">
        <f>'C5-CQ'!W9</f>
        <v>20639700</v>
      </c>
    </row>
    <row r="74" spans="1:12" ht="12.75" customHeight="1" x14ac:dyDescent="0.25">
      <c r="A74" s="216" t="s">
        <v>823</v>
      </c>
      <c r="B74" s="72"/>
      <c r="C74" s="138">
        <f t="shared" ref="C74:H74" si="13">+C70+C72+C73</f>
        <v>797724122.45000005</v>
      </c>
      <c r="D74" s="154">
        <f t="shared" si="13"/>
        <v>610994000</v>
      </c>
      <c r="E74" s="55">
        <f t="shared" si="13"/>
        <v>627805200</v>
      </c>
      <c r="F74" s="55">
        <f t="shared" si="13"/>
        <v>32044528.369999997</v>
      </c>
      <c r="G74" s="55">
        <f t="shared" si="13"/>
        <v>404573982.09999996</v>
      </c>
      <c r="H74" s="55">
        <f t="shared" si="13"/>
        <v>495245934.40000004</v>
      </c>
      <c r="I74" s="593">
        <f t="shared" si="6"/>
        <v>-90671952.300000072</v>
      </c>
      <c r="J74" s="669">
        <f t="shared" si="12"/>
        <v>-0.18308469792861778</v>
      </c>
      <c r="K74" s="671">
        <f>+K70+K72+K73</f>
        <v>627805200</v>
      </c>
    </row>
    <row r="75" spans="1:12" ht="11.25" customHeight="1" x14ac:dyDescent="0.25">
      <c r="A75" s="64" t="str">
        <f>head27a</f>
        <v>References</v>
      </c>
      <c r="B75" s="44"/>
      <c r="C75" s="314"/>
      <c r="D75" s="314"/>
      <c r="E75" s="314"/>
      <c r="F75" s="314"/>
      <c r="G75" s="314"/>
      <c r="H75" s="314"/>
      <c r="I75" s="314"/>
      <c r="J75" s="314"/>
      <c r="K75" s="314"/>
    </row>
    <row r="76" spans="1:12" ht="12" customHeight="1" x14ac:dyDescent="0.25">
      <c r="A76" s="73" t="s">
        <v>126</v>
      </c>
      <c r="B76" s="44"/>
      <c r="C76" s="314"/>
      <c r="D76" s="314"/>
      <c r="E76" s="314"/>
      <c r="F76" s="314"/>
      <c r="G76" s="314"/>
      <c r="H76" s="314"/>
      <c r="I76" s="314"/>
      <c r="J76" s="314"/>
      <c r="K76" s="314"/>
    </row>
    <row r="77" spans="1:12" ht="12" customHeight="1" x14ac:dyDescent="0.25">
      <c r="A77" s="849" t="s">
        <v>125</v>
      </c>
      <c r="B77" s="849"/>
      <c r="C77" s="849"/>
      <c r="D77" s="849"/>
      <c r="E77" s="849"/>
      <c r="F77" s="849"/>
      <c r="G77" s="849"/>
      <c r="H77" s="849"/>
      <c r="I77" s="849"/>
      <c r="J77" s="849"/>
      <c r="K77" s="849"/>
    </row>
    <row r="78" spans="1:12" ht="12" customHeight="1" x14ac:dyDescent="0.25">
      <c r="A78" s="849" t="s">
        <v>1118</v>
      </c>
      <c r="B78" s="849"/>
      <c r="C78" s="849"/>
      <c r="D78" s="849"/>
      <c r="E78" s="849"/>
      <c r="F78" s="849"/>
      <c r="G78" s="849"/>
      <c r="H78" s="849"/>
      <c r="I78" s="849"/>
      <c r="J78" s="849"/>
      <c r="K78" s="849"/>
    </row>
    <row r="79" spans="1:12" ht="12" customHeight="1" x14ac:dyDescent="0.25">
      <c r="A79" s="829" t="s">
        <v>478</v>
      </c>
      <c r="B79" s="849"/>
      <c r="C79" s="849"/>
      <c r="D79" s="849"/>
      <c r="E79" s="849"/>
      <c r="F79" s="849"/>
      <c r="G79" s="849"/>
      <c r="H79" s="849"/>
      <c r="I79" s="849"/>
      <c r="J79" s="849"/>
      <c r="K79" s="849"/>
    </row>
    <row r="80" spans="1:12" ht="12" customHeight="1" x14ac:dyDescent="0.25">
      <c r="A80" s="73"/>
      <c r="B80" s="320"/>
      <c r="C80" s="320"/>
      <c r="D80" s="320"/>
      <c r="E80" s="320"/>
      <c r="F80" s="320"/>
      <c r="G80" s="320"/>
      <c r="H80" s="320"/>
      <c r="I80" s="320"/>
      <c r="J80" s="320"/>
      <c r="K80" s="320"/>
    </row>
    <row r="81" spans="1:11" ht="12" customHeight="1" x14ac:dyDescent="0.25">
      <c r="A81" s="73" t="s">
        <v>55</v>
      </c>
      <c r="B81" s="320"/>
      <c r="C81" s="320"/>
      <c r="D81" s="320"/>
      <c r="E81" s="320"/>
      <c r="F81" s="320"/>
      <c r="G81" s="320"/>
      <c r="H81" s="320"/>
      <c r="I81" s="320"/>
      <c r="J81" s="320"/>
      <c r="K81" s="320"/>
    </row>
    <row r="82" spans="1:11" ht="11.25" customHeight="1" x14ac:dyDescent="0.25">
      <c r="A82" s="73" t="s">
        <v>1310</v>
      </c>
      <c r="B82" s="44"/>
      <c r="C82" s="314"/>
      <c r="D82" s="314"/>
      <c r="E82" s="314"/>
      <c r="F82" s="314"/>
      <c r="G82" s="314"/>
      <c r="H82" s="314"/>
      <c r="I82" s="314"/>
      <c r="J82" s="314"/>
      <c r="K82" s="314"/>
    </row>
    <row r="83" spans="1:11" ht="11.25" customHeight="1" x14ac:dyDescent="0.25">
      <c r="B83" s="21"/>
    </row>
    <row r="84" spans="1:11" ht="11.25" customHeight="1" x14ac:dyDescent="0.25">
      <c r="A84" s="60"/>
      <c r="C84" s="321"/>
      <c r="D84" s="321"/>
      <c r="E84" s="321"/>
      <c r="F84" s="321"/>
      <c r="G84" s="321"/>
      <c r="H84" s="321"/>
      <c r="I84" s="321"/>
      <c r="J84" s="321"/>
      <c r="K84" s="321"/>
    </row>
    <row r="85" spans="1:11" ht="11.25" customHeight="1" x14ac:dyDescent="0.25">
      <c r="A85" s="60"/>
      <c r="C85" s="321"/>
      <c r="D85" s="321"/>
      <c r="E85" s="321"/>
      <c r="F85" s="321"/>
      <c r="G85" s="321"/>
      <c r="H85" s="321"/>
      <c r="I85" s="321"/>
      <c r="J85" s="321"/>
      <c r="K85" s="321"/>
    </row>
    <row r="86" spans="1:11" ht="11.25" customHeight="1" x14ac:dyDescent="0.25">
      <c r="A86" s="56" t="s">
        <v>668</v>
      </c>
      <c r="B86" s="44"/>
      <c r="C86" s="248">
        <f>C40-C74</f>
        <v>32974.999999880791</v>
      </c>
      <c r="D86" s="248">
        <f t="shared" ref="D86:K86" si="14">D40-D74</f>
        <v>0</v>
      </c>
      <c r="E86" s="248">
        <f t="shared" si="14"/>
        <v>0</v>
      </c>
      <c r="F86" s="248">
        <f t="shared" si="14"/>
        <v>0</v>
      </c>
      <c r="G86" s="248">
        <f t="shared" si="14"/>
        <v>0</v>
      </c>
      <c r="H86" s="248">
        <f t="shared" si="14"/>
        <v>0</v>
      </c>
      <c r="I86" s="248"/>
      <c r="J86" s="248"/>
      <c r="K86" s="248">
        <f t="shared" si="14"/>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8" orientation="portrait" r:id="rId1"/>
  <headerFooter alignWithMargins="0">
    <oddFooter>&amp;L&amp;F&amp;C&amp;A&amp;R&amp;D</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W123"/>
  <sheetViews>
    <sheetView topLeftCell="K1" workbookViewId="0">
      <selection activeCell="P16" sqref="P16"/>
    </sheetView>
  </sheetViews>
  <sheetFormatPr defaultRowHeight="12.75" x14ac:dyDescent="0.2"/>
  <cols>
    <col min="1" max="1" width="55.140625" bestFit="1" customWidth="1"/>
    <col min="2" max="2" width="15" bestFit="1" customWidth="1"/>
    <col min="3" max="3" width="13.5703125" bestFit="1" customWidth="1"/>
    <col min="4" max="4" width="14.28515625" bestFit="1" customWidth="1"/>
    <col min="5" max="5" width="13.7109375" bestFit="1" customWidth="1"/>
    <col min="6" max="6" width="17.85546875" bestFit="1" customWidth="1"/>
    <col min="7" max="7" width="17.7109375" bestFit="1" customWidth="1"/>
    <col min="8" max="8" width="12.42578125" bestFit="1" customWidth="1"/>
    <col min="9" max="9" width="19.7109375" bestFit="1" customWidth="1"/>
    <col min="10" max="10" width="16" bestFit="1" customWidth="1"/>
    <col min="14" max="14" width="35.28515625" bestFit="1" customWidth="1"/>
    <col min="15" max="15" width="15" bestFit="1" customWidth="1"/>
    <col min="16" max="16" width="13.5703125" bestFit="1" customWidth="1"/>
    <col min="17" max="17" width="14.28515625" bestFit="1" customWidth="1"/>
    <col min="18" max="18" width="13.7109375" bestFit="1" customWidth="1"/>
    <col min="19" max="19" width="17.85546875" bestFit="1" customWidth="1"/>
    <col min="20" max="20" width="17.7109375" bestFit="1" customWidth="1"/>
    <col min="21" max="21" width="12.42578125" bestFit="1" customWidth="1"/>
    <col min="22" max="22" width="19.7109375" bestFit="1" customWidth="1"/>
    <col min="23" max="23" width="16" bestFit="1" customWidth="1"/>
  </cols>
  <sheetData>
    <row r="1" spans="1:23" x14ac:dyDescent="0.2">
      <c r="A1" s="659" t="s">
        <v>973</v>
      </c>
      <c r="B1" s="660" t="s">
        <v>471</v>
      </c>
      <c r="C1" s="660" t="s">
        <v>558</v>
      </c>
      <c r="D1" s="660" t="s">
        <v>773</v>
      </c>
      <c r="E1" s="660" t="s">
        <v>1545</v>
      </c>
      <c r="F1" s="660" t="s">
        <v>1546</v>
      </c>
      <c r="G1" s="660" t="s">
        <v>1547</v>
      </c>
      <c r="H1" s="660" t="s">
        <v>1548</v>
      </c>
      <c r="I1" s="660" t="s">
        <v>1549</v>
      </c>
      <c r="J1" s="660" t="s">
        <v>774</v>
      </c>
      <c r="N1" s="659" t="s">
        <v>973</v>
      </c>
      <c r="O1" s="660" t="s">
        <v>471</v>
      </c>
      <c r="P1" s="660" t="s">
        <v>558</v>
      </c>
      <c r="Q1" s="660" t="s">
        <v>773</v>
      </c>
      <c r="R1" s="660" t="s">
        <v>1545</v>
      </c>
      <c r="S1" s="660" t="s">
        <v>1546</v>
      </c>
      <c r="T1" s="660" t="s">
        <v>1547</v>
      </c>
      <c r="U1" s="660" t="s">
        <v>1548</v>
      </c>
      <c r="V1" s="660" t="s">
        <v>1549</v>
      </c>
      <c r="W1" s="660" t="s">
        <v>774</v>
      </c>
    </row>
    <row r="2" spans="1:23" x14ac:dyDescent="0.2">
      <c r="A2" s="659" t="s">
        <v>1574</v>
      </c>
      <c r="B2" s="661" t="s">
        <v>973</v>
      </c>
      <c r="C2" s="661" t="s">
        <v>973</v>
      </c>
      <c r="D2" s="661" t="s">
        <v>973</v>
      </c>
      <c r="E2" s="661" t="s">
        <v>973</v>
      </c>
      <c r="F2" s="661" t="s">
        <v>973</v>
      </c>
      <c r="G2" s="661" t="s">
        <v>973</v>
      </c>
      <c r="H2" s="661" t="s">
        <v>973</v>
      </c>
      <c r="I2" s="661" t="s">
        <v>528</v>
      </c>
      <c r="J2" s="661" t="s">
        <v>973</v>
      </c>
      <c r="N2" s="624" t="s">
        <v>1775</v>
      </c>
      <c r="O2" s="662" t="s">
        <v>973</v>
      </c>
      <c r="P2" s="662" t="s">
        <v>973</v>
      </c>
      <c r="Q2" s="662" t="s">
        <v>973</v>
      </c>
      <c r="R2" s="662" t="s">
        <v>973</v>
      </c>
      <c r="S2" s="662" t="s">
        <v>973</v>
      </c>
      <c r="T2" s="662" t="s">
        <v>973</v>
      </c>
      <c r="U2" s="662" t="s">
        <v>973</v>
      </c>
      <c r="V2" s="662" t="s">
        <v>528</v>
      </c>
      <c r="W2" s="662" t="s">
        <v>973</v>
      </c>
    </row>
    <row r="3" spans="1:23" x14ac:dyDescent="0.2">
      <c r="A3" s="638" t="s">
        <v>1575</v>
      </c>
      <c r="B3" s="637"/>
      <c r="C3" s="637"/>
      <c r="D3" s="637"/>
      <c r="E3" s="637"/>
      <c r="F3" s="637"/>
      <c r="G3" s="637"/>
      <c r="H3" s="637"/>
      <c r="I3" s="637"/>
      <c r="J3" s="637"/>
      <c r="N3" s="642" t="s">
        <v>1776</v>
      </c>
      <c r="O3" s="637">
        <v>797724122.45000005</v>
      </c>
      <c r="P3" s="637">
        <v>610994000</v>
      </c>
      <c r="Q3" s="637">
        <v>627805200</v>
      </c>
      <c r="R3" s="637">
        <v>32044528.370000001</v>
      </c>
      <c r="S3" s="637">
        <v>404573982.10000002</v>
      </c>
      <c r="T3" s="637">
        <v>495245934.39999998</v>
      </c>
      <c r="U3" s="637">
        <v>90671952.299999997</v>
      </c>
      <c r="V3" s="637">
        <v>18.3084697928618</v>
      </c>
      <c r="W3" s="637">
        <v>627805200</v>
      </c>
    </row>
    <row r="4" spans="1:23" x14ac:dyDescent="0.2">
      <c r="A4" s="639" t="s">
        <v>141</v>
      </c>
      <c r="B4" s="637">
        <v>19608748.629999999</v>
      </c>
      <c r="C4" s="637">
        <v>58787000</v>
      </c>
      <c r="D4" s="637">
        <v>65894700</v>
      </c>
      <c r="E4" s="637">
        <v>155215.49</v>
      </c>
      <c r="F4" s="637">
        <v>23725001.969999999</v>
      </c>
      <c r="G4" s="637">
        <v>35715106.329999998</v>
      </c>
      <c r="H4" s="637">
        <v>11990104.359999999</v>
      </c>
      <c r="I4" s="637">
        <v>33.571520827108799</v>
      </c>
      <c r="J4" s="637">
        <v>65894700</v>
      </c>
      <c r="N4" s="640" t="s">
        <v>1777</v>
      </c>
      <c r="O4" s="637">
        <v>239617013.94999999</v>
      </c>
      <c r="P4" s="637">
        <v>219003000</v>
      </c>
      <c r="Q4" s="637">
        <v>227008100</v>
      </c>
      <c r="R4" s="637">
        <v>-1401060.07</v>
      </c>
      <c r="S4" s="637">
        <v>149031677.03999999</v>
      </c>
      <c r="T4" s="637">
        <v>215783152.19</v>
      </c>
      <c r="U4" s="637">
        <v>66751475.149999999</v>
      </c>
      <c r="V4" s="637">
        <v>30.934516653656299</v>
      </c>
      <c r="W4" s="637">
        <v>227008100</v>
      </c>
    </row>
    <row r="5" spans="1:23" x14ac:dyDescent="0.2">
      <c r="A5" s="657" t="s">
        <v>91</v>
      </c>
      <c r="B5" s="637">
        <v>82292.460000000006</v>
      </c>
      <c r="C5" s="637">
        <v>36000</v>
      </c>
      <c r="D5" s="637">
        <v>52000</v>
      </c>
      <c r="E5" s="637"/>
      <c r="F5" s="637">
        <v>15071.95</v>
      </c>
      <c r="G5" s="637">
        <v>15071.95</v>
      </c>
      <c r="H5" s="637">
        <v>0</v>
      </c>
      <c r="I5" s="637">
        <v>0</v>
      </c>
      <c r="J5" s="637">
        <v>52000</v>
      </c>
      <c r="N5" s="647" t="s">
        <v>1780</v>
      </c>
      <c r="O5" s="637">
        <v>237230293.97</v>
      </c>
      <c r="P5" s="637">
        <v>218503000</v>
      </c>
      <c r="Q5" s="637">
        <v>226375600</v>
      </c>
      <c r="R5" s="637">
        <v>-1401060.07</v>
      </c>
      <c r="S5" s="637">
        <v>148466257.03999999</v>
      </c>
      <c r="T5" s="637">
        <v>215682152.19</v>
      </c>
      <c r="U5" s="637">
        <v>67215895.150000006</v>
      </c>
      <c r="V5" s="637">
        <v>31.164328836438798</v>
      </c>
      <c r="W5" s="637">
        <v>226375600</v>
      </c>
    </row>
    <row r="6" spans="1:23" x14ac:dyDescent="0.2">
      <c r="A6" s="645" t="s">
        <v>1026</v>
      </c>
      <c r="B6" s="637">
        <v>19526456.170000002</v>
      </c>
      <c r="C6" s="637">
        <v>58751000</v>
      </c>
      <c r="D6" s="637">
        <v>65842700</v>
      </c>
      <c r="E6" s="637">
        <v>155215.49</v>
      </c>
      <c r="F6" s="637">
        <v>23709930.02</v>
      </c>
      <c r="G6" s="637">
        <v>35700034.380000003</v>
      </c>
      <c r="H6" s="637">
        <v>11990104.359999999</v>
      </c>
      <c r="I6" s="637">
        <v>33.585694154729303</v>
      </c>
      <c r="J6" s="637">
        <v>65842700</v>
      </c>
      <c r="N6" s="649" t="s">
        <v>1781</v>
      </c>
      <c r="O6" s="636">
        <v>193113.8</v>
      </c>
      <c r="P6" s="636">
        <v>500000</v>
      </c>
      <c r="Q6" s="636">
        <v>632500</v>
      </c>
      <c r="R6" s="636"/>
      <c r="S6" s="636">
        <v>565420</v>
      </c>
      <c r="T6" s="636">
        <v>101000</v>
      </c>
      <c r="U6" s="636">
        <v>-464420</v>
      </c>
      <c r="V6" s="636">
        <v>-459.82178217821797</v>
      </c>
      <c r="W6" s="636">
        <v>632500</v>
      </c>
    </row>
    <row r="7" spans="1:23" x14ac:dyDescent="0.2">
      <c r="A7" s="645" t="s">
        <v>1037</v>
      </c>
      <c r="B7" s="637"/>
      <c r="C7" s="637"/>
      <c r="D7" s="637"/>
      <c r="E7" s="637"/>
      <c r="F7" s="637"/>
      <c r="G7" s="637"/>
      <c r="H7" s="637"/>
      <c r="I7" s="637"/>
      <c r="J7" s="637"/>
      <c r="N7" s="648" t="s">
        <v>1629</v>
      </c>
      <c r="O7" s="636">
        <v>2193606.1800000002</v>
      </c>
      <c r="P7" s="636"/>
      <c r="Q7" s="636"/>
      <c r="R7" s="636"/>
      <c r="S7" s="636"/>
      <c r="T7" s="636"/>
      <c r="U7" s="636"/>
      <c r="V7" s="636"/>
      <c r="W7" s="636"/>
    </row>
    <row r="8" spans="1:23" x14ac:dyDescent="0.2">
      <c r="A8" s="642" t="s">
        <v>92</v>
      </c>
      <c r="B8" s="637">
        <v>123243350.45999999</v>
      </c>
      <c r="C8" s="637">
        <v>32483000</v>
      </c>
      <c r="D8" s="637">
        <v>46126400</v>
      </c>
      <c r="E8" s="637">
        <v>16240694.48</v>
      </c>
      <c r="F8" s="637">
        <v>39843968.93</v>
      </c>
      <c r="G8" s="637">
        <v>32993653.309999999</v>
      </c>
      <c r="H8" s="637">
        <v>-6850315.6200000001</v>
      </c>
      <c r="I8" s="637">
        <v>-20.762525312478001</v>
      </c>
      <c r="J8" s="637">
        <v>46126400</v>
      </c>
      <c r="N8" s="648" t="s">
        <v>1778</v>
      </c>
      <c r="O8" s="636">
        <v>387280101.69</v>
      </c>
      <c r="P8" s="636">
        <v>380000000</v>
      </c>
      <c r="Q8" s="636">
        <v>380157400</v>
      </c>
      <c r="R8" s="636">
        <v>6400345.3300000001</v>
      </c>
      <c r="S8" s="636">
        <v>224096134.63999999</v>
      </c>
      <c r="T8" s="636">
        <v>263512110.40000001</v>
      </c>
      <c r="U8" s="636">
        <v>39415975.759999998</v>
      </c>
      <c r="V8" s="636">
        <v>14.957937113466301</v>
      </c>
      <c r="W8" s="636">
        <v>380157400</v>
      </c>
    </row>
    <row r="9" spans="1:23" x14ac:dyDescent="0.2">
      <c r="A9" s="645" t="s">
        <v>93</v>
      </c>
      <c r="B9" s="637">
        <v>54050933.079999998</v>
      </c>
      <c r="C9" s="637">
        <v>9249000</v>
      </c>
      <c r="D9" s="637">
        <v>11135700</v>
      </c>
      <c r="E9" s="637">
        <v>43181</v>
      </c>
      <c r="F9" s="637">
        <v>442833.54</v>
      </c>
      <c r="G9" s="637">
        <v>8138576.54</v>
      </c>
      <c r="H9" s="637">
        <v>7695743</v>
      </c>
      <c r="I9" s="637">
        <v>94.558833011847597</v>
      </c>
      <c r="J9" s="637">
        <v>11135700</v>
      </c>
      <c r="N9" s="630" t="s">
        <v>1779</v>
      </c>
      <c r="O9">
        <v>170827006.81</v>
      </c>
      <c r="P9">
        <v>11991000</v>
      </c>
      <c r="Q9">
        <v>20639700</v>
      </c>
      <c r="R9">
        <v>27045243.109999999</v>
      </c>
      <c r="S9">
        <v>31446170.420000002</v>
      </c>
      <c r="T9">
        <v>15950671.810000001</v>
      </c>
      <c r="U9">
        <v>-15495498.609999999</v>
      </c>
      <c r="V9">
        <v>-97.1463697239721</v>
      </c>
      <c r="W9">
        <v>20639700</v>
      </c>
    </row>
    <row r="10" spans="1:23" x14ac:dyDescent="0.2">
      <c r="A10" s="645" t="s">
        <v>94</v>
      </c>
      <c r="B10" s="637">
        <v>68300054.109999999</v>
      </c>
      <c r="C10" s="637">
        <v>19361000</v>
      </c>
      <c r="D10" s="637">
        <v>31117700</v>
      </c>
      <c r="E10" s="637">
        <v>16197513.48</v>
      </c>
      <c r="F10" s="637">
        <v>39401135.390000001</v>
      </c>
      <c r="G10" s="637">
        <v>22911076.77</v>
      </c>
      <c r="H10" s="637">
        <v>-16490058.619999999</v>
      </c>
      <c r="I10" s="637">
        <v>-71.974175572543402</v>
      </c>
      <c r="J10" s="637">
        <v>31117700</v>
      </c>
      <c r="N10" s="630" t="s">
        <v>1908</v>
      </c>
      <c r="O10">
        <v>32975</v>
      </c>
      <c r="S10">
        <v>0</v>
      </c>
      <c r="U10">
        <v>0</v>
      </c>
      <c r="V10">
        <v>0</v>
      </c>
    </row>
    <row r="11" spans="1:23" x14ac:dyDescent="0.2">
      <c r="A11" s="645" t="s">
        <v>95</v>
      </c>
      <c r="B11" s="637">
        <v>892363.27</v>
      </c>
      <c r="C11" s="637">
        <v>675000</v>
      </c>
      <c r="D11" s="637">
        <v>675000</v>
      </c>
      <c r="E11" s="637"/>
      <c r="F11" s="637"/>
      <c r="G11" s="637">
        <v>345000</v>
      </c>
      <c r="H11" s="637">
        <v>345000</v>
      </c>
      <c r="I11" s="637">
        <v>100</v>
      </c>
      <c r="J11" s="637">
        <v>675000</v>
      </c>
    </row>
    <row r="12" spans="1:23" x14ac:dyDescent="0.2">
      <c r="A12" s="645" t="s">
        <v>659</v>
      </c>
      <c r="B12" s="637"/>
      <c r="C12" s="637">
        <v>3198000</v>
      </c>
      <c r="D12" s="637">
        <v>3198000</v>
      </c>
      <c r="E12" s="637"/>
      <c r="F12" s="637"/>
      <c r="G12" s="637">
        <v>1599000</v>
      </c>
      <c r="H12" s="637">
        <v>1599000</v>
      </c>
      <c r="I12" s="637">
        <v>100</v>
      </c>
      <c r="J12" s="637">
        <v>3198000</v>
      </c>
    </row>
    <row r="13" spans="1:23" x14ac:dyDescent="0.2">
      <c r="A13" s="645" t="s">
        <v>559</v>
      </c>
      <c r="B13" s="637"/>
      <c r="C13" s="637"/>
      <c r="D13" s="637"/>
      <c r="E13" s="637"/>
      <c r="F13" s="637"/>
      <c r="G13" s="637"/>
      <c r="H13" s="637"/>
      <c r="I13" s="637"/>
      <c r="J13" s="637"/>
    </row>
    <row r="14" spans="1:23" x14ac:dyDescent="0.2">
      <c r="A14" s="643" t="s">
        <v>96</v>
      </c>
      <c r="B14" s="637">
        <v>143673170.5</v>
      </c>
      <c r="C14" s="637">
        <v>104276000</v>
      </c>
      <c r="D14" s="637">
        <v>146181500</v>
      </c>
      <c r="E14" s="637">
        <v>511442.64</v>
      </c>
      <c r="F14" s="637">
        <v>89544310.859999999</v>
      </c>
      <c r="G14" s="637">
        <v>125448788.65000001</v>
      </c>
      <c r="H14" s="637">
        <v>35904477.789999999</v>
      </c>
      <c r="I14" s="637">
        <v>28.620824622047898</v>
      </c>
      <c r="J14" s="637">
        <v>146181500</v>
      </c>
    </row>
    <row r="15" spans="1:23" x14ac:dyDescent="0.2">
      <c r="A15" s="645" t="s">
        <v>97</v>
      </c>
      <c r="B15" s="637">
        <v>17201623.140000001</v>
      </c>
      <c r="C15" s="637">
        <v>35175000</v>
      </c>
      <c r="D15" s="637">
        <v>49075000</v>
      </c>
      <c r="E15" s="637"/>
      <c r="F15" s="637">
        <v>12370406.369999999</v>
      </c>
      <c r="G15" s="637">
        <v>23149175.800000001</v>
      </c>
      <c r="H15" s="637">
        <v>10778769.43</v>
      </c>
      <c r="I15" s="637">
        <v>46.5622168284713</v>
      </c>
      <c r="J15" s="637">
        <v>49075000</v>
      </c>
    </row>
    <row r="16" spans="1:23" x14ac:dyDescent="0.2">
      <c r="A16" s="645" t="s">
        <v>98</v>
      </c>
      <c r="B16" s="637">
        <v>121551536.18000001</v>
      </c>
      <c r="C16" s="637">
        <v>69023000</v>
      </c>
      <c r="D16" s="637">
        <v>97028500</v>
      </c>
      <c r="E16" s="637">
        <v>511442.64</v>
      </c>
      <c r="F16" s="637">
        <v>77173904.489999995</v>
      </c>
      <c r="G16" s="637">
        <v>102221612.84999999</v>
      </c>
      <c r="H16" s="637">
        <v>25047708.359999999</v>
      </c>
      <c r="I16" s="637">
        <v>24.503339031399399</v>
      </c>
      <c r="J16" s="637">
        <v>97028500</v>
      </c>
    </row>
    <row r="17" spans="1:10" x14ac:dyDescent="0.2">
      <c r="A17" s="645" t="s">
        <v>99</v>
      </c>
      <c r="B17" s="637">
        <v>4920011.18</v>
      </c>
      <c r="C17" s="637">
        <v>78000</v>
      </c>
      <c r="D17" s="637">
        <v>78000</v>
      </c>
      <c r="E17" s="637"/>
      <c r="F17" s="637">
        <v>0</v>
      </c>
      <c r="G17" s="637">
        <v>78000</v>
      </c>
      <c r="H17" s="637">
        <v>78000</v>
      </c>
      <c r="I17" s="637">
        <v>100</v>
      </c>
      <c r="J17" s="637">
        <v>78000</v>
      </c>
    </row>
    <row r="18" spans="1:10" x14ac:dyDescent="0.2">
      <c r="A18" s="643" t="s">
        <v>100</v>
      </c>
      <c r="B18" s="637">
        <v>492577362.31999999</v>
      </c>
      <c r="C18" s="637">
        <v>403049000</v>
      </c>
      <c r="D18" s="637">
        <v>357203600</v>
      </c>
      <c r="E18" s="637">
        <v>15137175.76</v>
      </c>
      <c r="F18" s="637">
        <v>240890706.34</v>
      </c>
      <c r="G18" s="637">
        <v>288709299.11000001</v>
      </c>
      <c r="H18" s="637">
        <v>47818592.770000003</v>
      </c>
      <c r="I18" s="637">
        <v>16.562886237959699</v>
      </c>
      <c r="J18" s="637">
        <v>357203600</v>
      </c>
    </row>
    <row r="19" spans="1:10" x14ac:dyDescent="0.2">
      <c r="A19" s="645" t="s">
        <v>1094</v>
      </c>
      <c r="B19" s="637">
        <v>91515410.310000002</v>
      </c>
      <c r="C19" s="637">
        <v>76690300</v>
      </c>
      <c r="D19" s="637">
        <v>76690300</v>
      </c>
      <c r="E19" s="637">
        <v>7832982.2999999998</v>
      </c>
      <c r="F19" s="637">
        <v>15142227.279999999</v>
      </c>
      <c r="G19" s="637">
        <v>38922564.700000003</v>
      </c>
      <c r="H19" s="637">
        <v>23780337.420000002</v>
      </c>
      <c r="I19" s="637">
        <v>61.096532572531103</v>
      </c>
      <c r="J19" s="637">
        <v>76690300</v>
      </c>
    </row>
    <row r="20" spans="1:10" x14ac:dyDescent="0.2">
      <c r="A20" s="645" t="s">
        <v>1098</v>
      </c>
      <c r="B20" s="637">
        <v>301685031.80000001</v>
      </c>
      <c r="C20" s="637">
        <v>246308700</v>
      </c>
      <c r="D20" s="637">
        <v>202882200</v>
      </c>
      <c r="E20" s="637">
        <v>6500602.9100000001</v>
      </c>
      <c r="F20" s="637">
        <v>157122255.30000001</v>
      </c>
      <c r="G20" s="637">
        <v>178240376.69999999</v>
      </c>
      <c r="H20" s="637">
        <v>21118121.399999999</v>
      </c>
      <c r="I20" s="637">
        <v>11.8481130880599</v>
      </c>
      <c r="J20" s="637">
        <v>202882200</v>
      </c>
    </row>
    <row r="21" spans="1:10" x14ac:dyDescent="0.2">
      <c r="A21" s="645" t="s">
        <v>101</v>
      </c>
      <c r="B21" s="637">
        <v>97217858.510000005</v>
      </c>
      <c r="C21" s="637">
        <v>64815000</v>
      </c>
      <c r="D21" s="637">
        <v>65815100</v>
      </c>
      <c r="E21" s="637">
        <v>803590.55</v>
      </c>
      <c r="F21" s="637">
        <v>68626223.760000005</v>
      </c>
      <c r="G21" s="637">
        <v>61860357.710000001</v>
      </c>
      <c r="H21" s="637">
        <v>-6765866.0499999998</v>
      </c>
      <c r="I21" s="637">
        <v>-10.9373212513872</v>
      </c>
      <c r="J21" s="637">
        <v>65815100</v>
      </c>
    </row>
    <row r="22" spans="1:10" x14ac:dyDescent="0.2">
      <c r="A22" s="644" t="s">
        <v>102</v>
      </c>
      <c r="B22" s="637">
        <v>2159061.7000000002</v>
      </c>
      <c r="C22" s="637">
        <v>15235000</v>
      </c>
      <c r="D22" s="637">
        <v>11816000</v>
      </c>
      <c r="E22" s="637"/>
      <c r="F22" s="637"/>
      <c r="G22" s="637">
        <v>9686000</v>
      </c>
      <c r="H22" s="637">
        <v>9686000</v>
      </c>
      <c r="I22" s="637">
        <v>100</v>
      </c>
      <c r="J22" s="637">
        <v>11816000</v>
      </c>
    </row>
    <row r="23" spans="1:10" x14ac:dyDescent="0.2">
      <c r="A23" s="646" t="s">
        <v>666</v>
      </c>
      <c r="B23" s="637">
        <v>18654465.539999999</v>
      </c>
      <c r="C23" s="637">
        <v>12399000</v>
      </c>
      <c r="D23" s="637">
        <v>12399000</v>
      </c>
      <c r="E23" s="637"/>
      <c r="F23" s="637">
        <v>10569994</v>
      </c>
      <c r="G23" s="637">
        <v>12379087</v>
      </c>
      <c r="H23" s="637">
        <v>1809093</v>
      </c>
      <c r="I23" s="637">
        <v>14.614106840027899</v>
      </c>
      <c r="J23" s="637">
        <v>12399000</v>
      </c>
    </row>
    <row r="24" spans="1:10" x14ac:dyDescent="0.2">
      <c r="A24" s="638" t="s">
        <v>1111</v>
      </c>
      <c r="B24" s="637">
        <v>797757097.45000005</v>
      </c>
      <c r="C24" s="637">
        <v>610994000</v>
      </c>
      <c r="D24" s="637">
        <v>627805200</v>
      </c>
      <c r="E24" s="637">
        <v>32044528.370000001</v>
      </c>
      <c r="F24" s="637">
        <v>404573982.10000002</v>
      </c>
      <c r="G24" s="637">
        <v>495245934.39999998</v>
      </c>
      <c r="H24" s="637">
        <v>90671952.299999997</v>
      </c>
      <c r="I24" s="637">
        <v>18.3084697928618</v>
      </c>
      <c r="J24" s="637">
        <v>627805200</v>
      </c>
    </row>
    <row r="25" spans="1:10" x14ac:dyDescent="0.2">
      <c r="A25" s="625"/>
      <c r="B25" s="637"/>
      <c r="C25" s="637"/>
      <c r="D25" s="637"/>
      <c r="E25" s="637"/>
      <c r="F25" s="637"/>
      <c r="G25" s="637"/>
      <c r="H25" s="637"/>
      <c r="I25" s="637"/>
      <c r="J25" s="637"/>
    </row>
    <row r="26" spans="1:10" x14ac:dyDescent="0.2">
      <c r="A26" s="626"/>
      <c r="B26" s="637"/>
      <c r="C26" s="637"/>
      <c r="D26" s="637"/>
      <c r="E26" s="637"/>
      <c r="F26" s="637"/>
      <c r="G26" s="637"/>
      <c r="H26" s="637"/>
      <c r="I26" s="637"/>
      <c r="J26" s="637"/>
    </row>
    <row r="27" spans="1:10" x14ac:dyDescent="0.2">
      <c r="A27" s="626"/>
      <c r="B27" s="637"/>
      <c r="C27" s="637"/>
      <c r="D27" s="637"/>
      <c r="E27" s="637"/>
      <c r="F27" s="637"/>
      <c r="G27" s="637"/>
      <c r="H27" s="637"/>
      <c r="I27" s="637"/>
      <c r="J27" s="637"/>
    </row>
    <row r="28" spans="1:10" x14ac:dyDescent="0.2">
      <c r="A28" s="626"/>
      <c r="B28" s="637"/>
      <c r="C28" s="637"/>
      <c r="D28" s="637"/>
      <c r="E28" s="637"/>
      <c r="F28" s="637"/>
      <c r="G28" s="637"/>
      <c r="H28" s="637"/>
      <c r="I28" s="637"/>
      <c r="J28" s="637"/>
    </row>
    <row r="29" spans="1:10" x14ac:dyDescent="0.2">
      <c r="A29" s="626"/>
      <c r="B29" s="637"/>
      <c r="C29" s="637"/>
      <c r="D29" s="637"/>
      <c r="E29" s="637"/>
      <c r="F29" s="637"/>
      <c r="G29" s="637"/>
      <c r="H29" s="637"/>
      <c r="I29" s="637"/>
      <c r="J29" s="637"/>
    </row>
    <row r="30" spans="1:10" x14ac:dyDescent="0.2">
      <c r="A30" s="626"/>
      <c r="B30" s="637"/>
      <c r="C30" s="637"/>
      <c r="D30" s="637"/>
      <c r="E30" s="637"/>
      <c r="F30" s="637"/>
      <c r="G30" s="637"/>
      <c r="H30" s="637"/>
      <c r="I30" s="637"/>
      <c r="J30" s="637"/>
    </row>
    <row r="31" spans="1:10" x14ac:dyDescent="0.2">
      <c r="A31" s="626"/>
      <c r="B31" s="637"/>
      <c r="C31" s="637"/>
      <c r="D31" s="637"/>
      <c r="E31" s="637"/>
      <c r="F31" s="637"/>
      <c r="G31" s="637"/>
      <c r="H31" s="637"/>
      <c r="I31" s="637"/>
      <c r="J31" s="637"/>
    </row>
    <row r="32" spans="1:10" x14ac:dyDescent="0.2">
      <c r="A32" s="626"/>
      <c r="B32" s="637"/>
      <c r="C32" s="637"/>
      <c r="D32" s="637"/>
      <c r="E32" s="637"/>
      <c r="F32" s="637"/>
      <c r="G32" s="637"/>
      <c r="H32" s="637"/>
      <c r="I32" s="637"/>
      <c r="J32" s="637"/>
    </row>
    <row r="33" spans="1:10" x14ac:dyDescent="0.2">
      <c r="A33" s="626"/>
      <c r="B33" s="637"/>
      <c r="C33" s="637"/>
      <c r="D33" s="637"/>
      <c r="E33" s="637"/>
      <c r="F33" s="637"/>
      <c r="G33" s="637"/>
      <c r="H33" s="637"/>
      <c r="I33" s="637"/>
      <c r="J33" s="637"/>
    </row>
    <row r="34" spans="1:10" x14ac:dyDescent="0.2">
      <c r="A34" s="626"/>
      <c r="B34" s="637"/>
      <c r="C34" s="637"/>
      <c r="D34" s="637"/>
      <c r="E34" s="637"/>
      <c r="F34" s="637"/>
      <c r="G34" s="637"/>
      <c r="H34" s="637"/>
      <c r="I34" s="637"/>
      <c r="J34" s="637"/>
    </row>
    <row r="35" spans="1:10" x14ac:dyDescent="0.2">
      <c r="A35" s="626"/>
      <c r="B35" s="637"/>
      <c r="C35" s="637"/>
      <c r="D35" s="637"/>
      <c r="E35" s="637"/>
      <c r="F35" s="637"/>
      <c r="G35" s="637"/>
      <c r="H35" s="637"/>
      <c r="I35" s="637"/>
      <c r="J35" s="637"/>
    </row>
    <row r="36" spans="1:10" x14ac:dyDescent="0.2">
      <c r="A36" s="626"/>
      <c r="B36" s="637"/>
      <c r="C36" s="637"/>
      <c r="D36" s="637"/>
      <c r="E36" s="637"/>
      <c r="F36" s="637"/>
      <c r="G36" s="637"/>
      <c r="H36" s="637"/>
      <c r="I36" s="637"/>
      <c r="J36" s="637"/>
    </row>
    <row r="37" spans="1:10" x14ac:dyDescent="0.2">
      <c r="A37" s="626"/>
      <c r="B37" s="637"/>
      <c r="C37" s="637"/>
      <c r="D37" s="637"/>
      <c r="E37" s="637"/>
      <c r="F37" s="637"/>
      <c r="G37" s="637"/>
      <c r="H37" s="637"/>
      <c r="I37" s="637"/>
      <c r="J37" s="637"/>
    </row>
    <row r="38" spans="1:10" x14ac:dyDescent="0.2">
      <c r="A38" s="626"/>
      <c r="B38" s="637"/>
      <c r="C38" s="637"/>
      <c r="D38" s="637"/>
      <c r="E38" s="637"/>
      <c r="F38" s="637"/>
      <c r="G38" s="637"/>
      <c r="H38" s="637"/>
      <c r="I38" s="637"/>
      <c r="J38" s="637"/>
    </row>
    <row r="39" spans="1:10" x14ac:dyDescent="0.2">
      <c r="A39" s="626"/>
      <c r="B39" s="637"/>
      <c r="C39" s="637"/>
      <c r="D39" s="637"/>
      <c r="E39" s="637"/>
      <c r="F39" s="637"/>
      <c r="G39" s="637"/>
      <c r="H39" s="637"/>
      <c r="I39" s="637"/>
      <c r="J39" s="637"/>
    </row>
    <row r="40" spans="1:10" x14ac:dyDescent="0.2">
      <c r="A40" s="626"/>
      <c r="B40" s="637"/>
      <c r="C40" s="637"/>
      <c r="D40" s="637"/>
      <c r="E40" s="637"/>
      <c r="F40" s="637"/>
      <c r="G40" s="637"/>
      <c r="H40" s="637"/>
      <c r="I40" s="637"/>
      <c r="J40" s="637"/>
    </row>
    <row r="41" spans="1:10" x14ac:dyDescent="0.2">
      <c r="A41" s="626"/>
      <c r="B41" s="637"/>
      <c r="C41" s="637"/>
      <c r="D41" s="637"/>
      <c r="E41" s="637"/>
      <c r="F41" s="637"/>
      <c r="G41" s="637"/>
      <c r="H41" s="637"/>
      <c r="I41" s="637"/>
      <c r="J41" s="637"/>
    </row>
    <row r="42" spans="1:10" x14ac:dyDescent="0.2">
      <c r="A42" s="626"/>
      <c r="B42" s="637"/>
      <c r="C42" s="637"/>
      <c r="D42" s="637"/>
      <c r="E42" s="637"/>
      <c r="F42" s="637"/>
      <c r="G42" s="637"/>
      <c r="H42" s="637"/>
      <c r="I42" s="637"/>
      <c r="J42" s="637"/>
    </row>
    <row r="43" spans="1:10" x14ac:dyDescent="0.2">
      <c r="A43" s="626"/>
      <c r="B43" s="637"/>
      <c r="C43" s="637"/>
      <c r="D43" s="637"/>
      <c r="E43" s="637"/>
      <c r="F43" s="637"/>
      <c r="G43" s="637"/>
      <c r="H43" s="637"/>
      <c r="I43" s="637"/>
      <c r="J43" s="637"/>
    </row>
    <row r="44" spans="1:10" x14ac:dyDescent="0.2">
      <c r="A44" s="626"/>
      <c r="B44" s="637"/>
      <c r="C44" s="637"/>
      <c r="D44" s="637"/>
      <c r="E44" s="637"/>
      <c r="F44" s="637"/>
      <c r="G44" s="637"/>
      <c r="H44" s="637"/>
      <c r="I44" s="637"/>
      <c r="J44" s="637"/>
    </row>
    <row r="45" spans="1:10" x14ac:dyDescent="0.2">
      <c r="A45" s="626"/>
      <c r="B45" s="637"/>
      <c r="C45" s="637"/>
      <c r="D45" s="637"/>
      <c r="E45" s="637"/>
      <c r="F45" s="637"/>
      <c r="G45" s="637"/>
      <c r="H45" s="637"/>
      <c r="I45" s="637"/>
      <c r="J45" s="637"/>
    </row>
    <row r="46" spans="1:10" x14ac:dyDescent="0.2">
      <c r="A46" s="626"/>
      <c r="B46" s="637"/>
      <c r="C46" s="637"/>
      <c r="D46" s="637"/>
      <c r="E46" s="637"/>
      <c r="F46" s="637"/>
      <c r="G46" s="637"/>
      <c r="H46" s="637"/>
      <c r="I46" s="637"/>
      <c r="J46" s="637"/>
    </row>
    <row r="47" spans="1:10" x14ac:dyDescent="0.2">
      <c r="A47" s="625"/>
      <c r="B47" s="637"/>
      <c r="C47" s="637"/>
      <c r="D47" s="637"/>
      <c r="E47" s="637"/>
      <c r="F47" s="637"/>
      <c r="G47" s="637"/>
      <c r="H47" s="637"/>
      <c r="I47" s="637"/>
      <c r="J47" s="637"/>
    </row>
    <row r="48" spans="1:10" x14ac:dyDescent="0.2">
      <c r="A48" s="626"/>
      <c r="B48" s="637"/>
      <c r="C48" s="637"/>
      <c r="D48" s="637"/>
      <c r="E48" s="637"/>
      <c r="F48" s="637"/>
      <c r="G48" s="637"/>
      <c r="H48" s="637"/>
      <c r="I48" s="637"/>
      <c r="J48" s="637"/>
    </row>
    <row r="49" spans="1:10" x14ac:dyDescent="0.2">
      <c r="A49" s="626"/>
      <c r="B49" s="637"/>
      <c r="C49" s="637"/>
      <c r="D49" s="637"/>
      <c r="E49" s="637"/>
      <c r="F49" s="637"/>
      <c r="G49" s="637"/>
      <c r="H49" s="637"/>
      <c r="I49" s="637"/>
      <c r="J49" s="637"/>
    </row>
    <row r="50" spans="1:10" x14ac:dyDescent="0.2">
      <c r="A50" s="626"/>
      <c r="B50" s="637"/>
      <c r="C50" s="637"/>
      <c r="D50" s="637"/>
      <c r="E50" s="637"/>
      <c r="F50" s="637"/>
      <c r="G50" s="637"/>
      <c r="H50" s="637"/>
      <c r="I50" s="637"/>
      <c r="J50" s="637"/>
    </row>
    <row r="51" spans="1:10" x14ac:dyDescent="0.2">
      <c r="A51" s="626"/>
      <c r="B51" s="637"/>
      <c r="C51" s="637"/>
      <c r="D51" s="637"/>
      <c r="E51" s="637"/>
      <c r="F51" s="637"/>
      <c r="G51" s="637"/>
      <c r="H51" s="637"/>
      <c r="I51" s="637"/>
      <c r="J51" s="637"/>
    </row>
    <row r="52" spans="1:10" x14ac:dyDescent="0.2">
      <c r="A52" s="626"/>
      <c r="B52" s="637"/>
      <c r="C52" s="637"/>
      <c r="D52" s="637"/>
      <c r="E52" s="637"/>
      <c r="F52" s="637"/>
      <c r="G52" s="637"/>
      <c r="H52" s="637"/>
      <c r="I52" s="637"/>
      <c r="J52" s="637"/>
    </row>
    <row r="53" spans="1:10" x14ac:dyDescent="0.2">
      <c r="A53" s="625"/>
      <c r="B53" s="637"/>
      <c r="C53" s="637"/>
      <c r="D53" s="637"/>
      <c r="E53" s="637"/>
      <c r="F53" s="637"/>
      <c r="G53" s="637"/>
      <c r="H53" s="637"/>
      <c r="I53" s="637"/>
      <c r="J53" s="637"/>
    </row>
    <row r="54" spans="1:10" x14ac:dyDescent="0.2">
      <c r="A54" s="626"/>
      <c r="B54" s="637"/>
      <c r="C54" s="637"/>
      <c r="D54" s="637"/>
      <c r="E54" s="637"/>
      <c r="F54" s="637"/>
      <c r="G54" s="637"/>
      <c r="H54" s="637"/>
      <c r="I54" s="637"/>
      <c r="J54" s="637"/>
    </row>
    <row r="55" spans="1:10" x14ac:dyDescent="0.2">
      <c r="A55" s="626"/>
      <c r="B55" s="637"/>
      <c r="C55" s="637"/>
      <c r="D55" s="637"/>
      <c r="E55" s="637"/>
      <c r="F55" s="637"/>
      <c r="G55" s="637"/>
      <c r="H55" s="637"/>
      <c r="I55" s="637"/>
      <c r="J55" s="637"/>
    </row>
    <row r="56" spans="1:10" x14ac:dyDescent="0.2">
      <c r="A56" s="626"/>
      <c r="B56" s="637"/>
      <c r="C56" s="637"/>
      <c r="D56" s="637"/>
      <c r="E56" s="637"/>
      <c r="F56" s="637"/>
      <c r="G56" s="637"/>
      <c r="H56" s="637"/>
      <c r="I56" s="637"/>
      <c r="J56" s="637"/>
    </row>
    <row r="57" spans="1:10" x14ac:dyDescent="0.2">
      <c r="A57" s="626"/>
      <c r="B57" s="637"/>
      <c r="C57" s="637"/>
      <c r="D57" s="637"/>
      <c r="E57" s="637"/>
      <c r="F57" s="637"/>
      <c r="G57" s="637"/>
      <c r="H57" s="637"/>
      <c r="I57" s="637"/>
      <c r="J57" s="637"/>
    </row>
    <row r="58" spans="1:10" x14ac:dyDescent="0.2">
      <c r="A58" s="626"/>
      <c r="B58" s="637"/>
      <c r="C58" s="637"/>
      <c r="D58" s="637"/>
      <c r="E58" s="637"/>
      <c r="F58" s="637"/>
      <c r="G58" s="637"/>
      <c r="H58" s="637"/>
      <c r="I58" s="637"/>
      <c r="J58" s="637"/>
    </row>
    <row r="59" spans="1:10" x14ac:dyDescent="0.2">
      <c r="A59" s="626"/>
      <c r="B59" s="637"/>
      <c r="C59" s="637"/>
      <c r="D59" s="637"/>
      <c r="E59" s="637"/>
      <c r="F59" s="637"/>
      <c r="G59" s="637"/>
      <c r="H59" s="637"/>
      <c r="I59" s="637"/>
      <c r="J59" s="637"/>
    </row>
    <row r="60" spans="1:10" x14ac:dyDescent="0.2">
      <c r="A60" s="626"/>
      <c r="B60" s="637"/>
      <c r="C60" s="637"/>
      <c r="D60" s="637"/>
      <c r="E60" s="637"/>
      <c r="F60" s="637"/>
      <c r="G60" s="637"/>
      <c r="H60" s="637"/>
      <c r="I60" s="637"/>
      <c r="J60" s="637"/>
    </row>
    <row r="61" spans="1:10" x14ac:dyDescent="0.2">
      <c r="A61" s="626"/>
      <c r="B61" s="637"/>
      <c r="C61" s="637"/>
      <c r="D61" s="637"/>
      <c r="E61" s="637"/>
      <c r="F61" s="637"/>
      <c r="G61" s="637"/>
      <c r="H61" s="637"/>
      <c r="I61" s="637"/>
      <c r="J61" s="637"/>
    </row>
    <row r="62" spans="1:10" x14ac:dyDescent="0.2">
      <c r="A62" s="625"/>
      <c r="B62" s="637"/>
      <c r="C62" s="637"/>
      <c r="D62" s="637"/>
      <c r="E62" s="637"/>
      <c r="F62" s="637"/>
      <c r="G62" s="637"/>
      <c r="H62" s="637"/>
      <c r="I62" s="637"/>
      <c r="J62" s="637"/>
    </row>
    <row r="63" spans="1:10" x14ac:dyDescent="0.2">
      <c r="A63" s="626"/>
      <c r="B63" s="637"/>
      <c r="C63" s="637"/>
      <c r="D63" s="637"/>
      <c r="E63" s="637"/>
      <c r="F63" s="637"/>
      <c r="G63" s="637"/>
      <c r="H63" s="637"/>
      <c r="I63" s="637"/>
      <c r="J63" s="637"/>
    </row>
    <row r="64" spans="1:10" x14ac:dyDescent="0.2">
      <c r="A64" s="626"/>
      <c r="B64" s="637"/>
      <c r="C64" s="637"/>
      <c r="D64" s="637"/>
      <c r="E64" s="637"/>
      <c r="F64" s="637"/>
      <c r="G64" s="637"/>
      <c r="H64" s="637"/>
      <c r="I64" s="637"/>
      <c r="J64" s="637"/>
    </row>
    <row r="65" spans="1:10" x14ac:dyDescent="0.2">
      <c r="A65" s="625"/>
      <c r="B65" s="637"/>
      <c r="C65" s="637"/>
      <c r="D65" s="637"/>
      <c r="E65" s="637"/>
      <c r="F65" s="637"/>
      <c r="G65" s="637"/>
      <c r="H65" s="637"/>
      <c r="I65" s="637"/>
      <c r="J65" s="637"/>
    </row>
    <row r="66" spans="1:10" x14ac:dyDescent="0.2">
      <c r="A66" s="626"/>
      <c r="B66" s="637"/>
      <c r="C66" s="637"/>
      <c r="D66" s="637"/>
      <c r="E66" s="637"/>
      <c r="F66" s="637"/>
      <c r="G66" s="637"/>
      <c r="H66" s="637"/>
      <c r="I66" s="637"/>
      <c r="J66" s="637"/>
    </row>
    <row r="67" spans="1:10" x14ac:dyDescent="0.2">
      <c r="A67" s="626"/>
      <c r="B67" s="637"/>
      <c r="C67" s="637"/>
      <c r="D67" s="637"/>
      <c r="E67" s="637"/>
      <c r="F67" s="637"/>
      <c r="G67" s="637"/>
      <c r="H67" s="637"/>
      <c r="I67" s="637"/>
      <c r="J67" s="637"/>
    </row>
    <row r="68" spans="1:10" x14ac:dyDescent="0.2">
      <c r="A68" s="626"/>
      <c r="B68" s="637"/>
      <c r="C68" s="637"/>
      <c r="D68" s="637"/>
      <c r="E68" s="637"/>
      <c r="F68" s="637"/>
      <c r="G68" s="637"/>
      <c r="H68" s="637"/>
      <c r="I68" s="637"/>
      <c r="J68" s="637"/>
    </row>
    <row r="69" spans="1:10" x14ac:dyDescent="0.2">
      <c r="A69" s="626"/>
      <c r="B69" s="637"/>
      <c r="C69" s="637"/>
      <c r="D69" s="637"/>
      <c r="E69" s="637"/>
      <c r="F69" s="637"/>
      <c r="G69" s="637"/>
      <c r="H69" s="637"/>
      <c r="I69" s="637"/>
      <c r="J69" s="637"/>
    </row>
    <row r="70" spans="1:10" x14ac:dyDescent="0.2">
      <c r="A70" s="626"/>
      <c r="B70" s="637"/>
      <c r="C70" s="637"/>
      <c r="D70" s="637"/>
      <c r="E70" s="637"/>
      <c r="F70" s="637"/>
      <c r="G70" s="637"/>
      <c r="H70" s="637"/>
      <c r="I70" s="637"/>
      <c r="J70" s="637"/>
    </row>
    <row r="71" spans="1:10" x14ac:dyDescent="0.2">
      <c r="A71" s="626"/>
      <c r="B71" s="637"/>
      <c r="C71" s="637"/>
      <c r="D71" s="637"/>
      <c r="E71" s="637"/>
      <c r="F71" s="637"/>
      <c r="G71" s="637"/>
      <c r="H71" s="637"/>
      <c r="I71" s="637"/>
      <c r="J71" s="637"/>
    </row>
    <row r="72" spans="1:10" x14ac:dyDescent="0.2">
      <c r="A72" s="626"/>
      <c r="B72" s="637"/>
      <c r="C72" s="637"/>
      <c r="D72" s="637"/>
      <c r="E72" s="637"/>
      <c r="F72" s="637"/>
      <c r="G72" s="637"/>
      <c r="H72" s="637"/>
      <c r="I72" s="637"/>
      <c r="J72" s="637"/>
    </row>
    <row r="73" spans="1:10" x14ac:dyDescent="0.2">
      <c r="A73" s="624"/>
      <c r="B73" s="637"/>
      <c r="C73" s="637"/>
      <c r="D73" s="637"/>
      <c r="E73" s="637"/>
      <c r="F73" s="637"/>
      <c r="G73" s="637"/>
      <c r="H73" s="637"/>
      <c r="I73" s="637"/>
      <c r="J73" s="637"/>
    </row>
    <row r="74" spans="1:10" x14ac:dyDescent="0.2">
      <c r="A74" s="625"/>
      <c r="B74" s="637"/>
      <c r="C74" s="637"/>
      <c r="D74" s="637"/>
      <c r="E74" s="637"/>
      <c r="F74" s="637"/>
      <c r="G74" s="637"/>
      <c r="H74" s="637"/>
      <c r="I74" s="637"/>
      <c r="J74" s="637"/>
    </row>
    <row r="75" spans="1:10" x14ac:dyDescent="0.2">
      <c r="A75" s="626"/>
      <c r="B75" s="637"/>
      <c r="C75" s="637"/>
      <c r="D75" s="637"/>
      <c r="E75" s="637"/>
      <c r="F75" s="637"/>
      <c r="G75" s="637"/>
      <c r="H75" s="637"/>
      <c r="I75" s="637"/>
      <c r="J75" s="637"/>
    </row>
    <row r="76" spans="1:10" x14ac:dyDescent="0.2">
      <c r="A76" s="626"/>
      <c r="B76" s="637"/>
      <c r="C76" s="637"/>
      <c r="D76" s="637"/>
      <c r="E76" s="637"/>
      <c r="F76" s="637"/>
      <c r="G76" s="637"/>
      <c r="H76" s="637"/>
      <c r="I76" s="637"/>
      <c r="J76" s="637"/>
    </row>
    <row r="77" spans="1:10" x14ac:dyDescent="0.2">
      <c r="A77" s="626"/>
      <c r="B77" s="637"/>
      <c r="C77" s="637"/>
      <c r="D77" s="637"/>
      <c r="E77" s="637"/>
      <c r="F77" s="637"/>
      <c r="G77" s="637"/>
      <c r="H77" s="637"/>
      <c r="I77" s="637"/>
      <c r="J77" s="637"/>
    </row>
    <row r="78" spans="1:10" x14ac:dyDescent="0.2">
      <c r="A78" s="626"/>
      <c r="B78" s="637"/>
      <c r="C78" s="637"/>
      <c r="D78" s="637"/>
      <c r="E78" s="637"/>
      <c r="F78" s="637"/>
      <c r="G78" s="637"/>
      <c r="H78" s="637"/>
      <c r="I78" s="637"/>
      <c r="J78" s="637"/>
    </row>
    <row r="79" spans="1:10" x14ac:dyDescent="0.2">
      <c r="A79" s="626"/>
      <c r="B79" s="637"/>
      <c r="C79" s="637"/>
      <c r="D79" s="637"/>
      <c r="E79" s="637"/>
      <c r="F79" s="637"/>
      <c r="G79" s="637"/>
      <c r="H79" s="637"/>
      <c r="I79" s="637"/>
      <c r="J79" s="637"/>
    </row>
    <row r="80" spans="1:10" x14ac:dyDescent="0.2">
      <c r="A80" s="626"/>
      <c r="B80" s="637"/>
      <c r="C80" s="637"/>
      <c r="D80" s="637"/>
      <c r="E80" s="637"/>
      <c r="F80" s="637"/>
      <c r="G80" s="637"/>
      <c r="H80" s="637"/>
      <c r="I80" s="637"/>
      <c r="J80" s="637"/>
    </row>
    <row r="81" spans="1:10" x14ac:dyDescent="0.2">
      <c r="A81" s="626"/>
      <c r="B81" s="637"/>
      <c r="C81" s="637"/>
      <c r="D81" s="637"/>
      <c r="E81" s="637"/>
      <c r="F81" s="637"/>
      <c r="G81" s="637"/>
      <c r="H81" s="637"/>
      <c r="I81" s="637"/>
      <c r="J81" s="637"/>
    </row>
    <row r="82" spans="1:10" x14ac:dyDescent="0.2">
      <c r="A82" s="626"/>
      <c r="B82" s="637"/>
      <c r="C82" s="637"/>
      <c r="D82" s="637"/>
      <c r="E82" s="637"/>
      <c r="F82" s="637"/>
      <c r="G82" s="637"/>
      <c r="H82" s="637"/>
      <c r="I82" s="637"/>
      <c r="J82" s="637"/>
    </row>
    <row r="83" spans="1:10" x14ac:dyDescent="0.2">
      <c r="A83" s="626"/>
      <c r="B83" s="637"/>
      <c r="C83" s="637"/>
      <c r="D83" s="637"/>
      <c r="E83" s="637"/>
      <c r="F83" s="637"/>
      <c r="G83" s="637"/>
      <c r="H83" s="637"/>
      <c r="I83" s="637"/>
      <c r="J83" s="637"/>
    </row>
    <row r="84" spans="1:10" x14ac:dyDescent="0.2">
      <c r="A84" s="626"/>
      <c r="B84" s="637"/>
      <c r="C84" s="637"/>
      <c r="D84" s="637"/>
      <c r="E84" s="637"/>
      <c r="F84" s="637"/>
      <c r="G84" s="637"/>
      <c r="H84" s="637"/>
      <c r="I84" s="637"/>
      <c r="J84" s="637"/>
    </row>
    <row r="85" spans="1:10" x14ac:dyDescent="0.2">
      <c r="A85" s="625"/>
      <c r="B85" s="637"/>
      <c r="C85" s="637"/>
      <c r="D85" s="637"/>
      <c r="E85" s="637"/>
      <c r="F85" s="637"/>
      <c r="G85" s="637"/>
      <c r="H85" s="637"/>
      <c r="I85" s="637"/>
      <c r="J85" s="637"/>
    </row>
    <row r="86" spans="1:10" x14ac:dyDescent="0.2">
      <c r="A86" s="626"/>
      <c r="B86" s="637"/>
      <c r="C86" s="637"/>
      <c r="D86" s="637"/>
      <c r="E86" s="637"/>
      <c r="F86" s="637"/>
      <c r="G86" s="637"/>
      <c r="H86" s="637"/>
      <c r="I86" s="637"/>
      <c r="J86" s="637"/>
    </row>
    <row r="87" spans="1:10" x14ac:dyDescent="0.2">
      <c r="A87" s="626"/>
      <c r="B87" s="637"/>
      <c r="C87" s="637"/>
      <c r="D87" s="637"/>
      <c r="E87" s="637"/>
      <c r="F87" s="637"/>
      <c r="G87" s="637"/>
      <c r="H87" s="637"/>
      <c r="I87" s="637"/>
      <c r="J87" s="637"/>
    </row>
    <row r="88" spans="1:10" x14ac:dyDescent="0.2">
      <c r="A88" s="626"/>
      <c r="B88" s="637"/>
      <c r="C88" s="637"/>
      <c r="D88" s="637"/>
      <c r="E88" s="637"/>
      <c r="F88" s="637"/>
      <c r="G88" s="637"/>
      <c r="H88" s="637"/>
      <c r="I88" s="637"/>
      <c r="J88" s="637"/>
    </row>
    <row r="89" spans="1:10" x14ac:dyDescent="0.2">
      <c r="A89" s="626"/>
      <c r="B89" s="637"/>
      <c r="C89" s="637"/>
      <c r="D89" s="637"/>
      <c r="E89" s="637"/>
      <c r="F89" s="637"/>
      <c r="G89" s="637"/>
      <c r="H89" s="637"/>
      <c r="I89" s="637"/>
      <c r="J89" s="637"/>
    </row>
    <row r="90" spans="1:10" x14ac:dyDescent="0.2">
      <c r="A90" s="625"/>
      <c r="B90" s="637"/>
      <c r="C90" s="637"/>
      <c r="D90" s="637"/>
      <c r="E90" s="637"/>
      <c r="F90" s="637"/>
      <c r="G90" s="637"/>
      <c r="H90" s="637"/>
      <c r="I90" s="637"/>
      <c r="J90" s="637"/>
    </row>
    <row r="91" spans="1:10" x14ac:dyDescent="0.2">
      <c r="A91" s="626"/>
      <c r="B91" s="637"/>
      <c r="C91" s="637"/>
      <c r="D91" s="637"/>
      <c r="E91" s="637"/>
      <c r="F91" s="637"/>
      <c r="G91" s="637"/>
      <c r="H91" s="637"/>
      <c r="I91" s="637"/>
      <c r="J91" s="637"/>
    </row>
    <row r="92" spans="1:10" x14ac:dyDescent="0.2">
      <c r="A92" s="626"/>
      <c r="B92" s="637"/>
      <c r="C92" s="637"/>
      <c r="D92" s="637"/>
      <c r="E92" s="637"/>
      <c r="F92" s="637"/>
      <c r="G92" s="637"/>
      <c r="H92" s="637"/>
      <c r="I92" s="637"/>
      <c r="J92" s="637"/>
    </row>
    <row r="93" spans="1:10" x14ac:dyDescent="0.2">
      <c r="A93" s="626"/>
      <c r="B93" s="637"/>
      <c r="C93" s="637"/>
      <c r="D93" s="637"/>
      <c r="E93" s="637"/>
      <c r="F93" s="637"/>
      <c r="G93" s="637"/>
      <c r="H93" s="637"/>
      <c r="I93" s="637"/>
      <c r="J93" s="637"/>
    </row>
    <row r="94" spans="1:10" x14ac:dyDescent="0.2">
      <c r="A94" s="626"/>
      <c r="B94" s="637"/>
      <c r="C94" s="637"/>
      <c r="D94" s="637"/>
      <c r="E94" s="637"/>
      <c r="F94" s="637"/>
      <c r="G94" s="637"/>
      <c r="H94" s="637"/>
      <c r="I94" s="637"/>
      <c r="J94" s="637"/>
    </row>
    <row r="95" spans="1:10" x14ac:dyDescent="0.2">
      <c r="A95" s="626"/>
      <c r="B95" s="637"/>
      <c r="C95" s="637"/>
      <c r="D95" s="637"/>
      <c r="E95" s="637"/>
      <c r="F95" s="637"/>
      <c r="G95" s="637"/>
      <c r="H95" s="637"/>
      <c r="I95" s="637"/>
      <c r="J95" s="637"/>
    </row>
    <row r="96" spans="1:10" x14ac:dyDescent="0.2">
      <c r="A96" s="626"/>
      <c r="B96" s="637"/>
      <c r="C96" s="637"/>
      <c r="D96" s="637"/>
      <c r="E96" s="637"/>
      <c r="F96" s="637"/>
      <c r="G96" s="637"/>
      <c r="H96" s="637"/>
      <c r="I96" s="637"/>
      <c r="J96" s="637"/>
    </row>
    <row r="97" spans="1:10" x14ac:dyDescent="0.2">
      <c r="A97" s="624"/>
      <c r="B97" s="637"/>
      <c r="C97" s="637"/>
      <c r="D97" s="637"/>
      <c r="E97" s="637"/>
      <c r="F97" s="637"/>
      <c r="G97" s="637"/>
      <c r="H97" s="637"/>
      <c r="I97" s="637"/>
      <c r="J97" s="637"/>
    </row>
    <row r="98" spans="1:10" x14ac:dyDescent="0.2">
      <c r="A98" s="625"/>
      <c r="B98" s="637"/>
      <c r="C98" s="637"/>
      <c r="D98" s="637"/>
      <c r="E98" s="637"/>
      <c r="F98" s="637"/>
      <c r="G98" s="637"/>
      <c r="H98" s="637"/>
      <c r="I98" s="637"/>
      <c r="J98" s="637"/>
    </row>
    <row r="99" spans="1:10" x14ac:dyDescent="0.2">
      <c r="A99" s="626"/>
      <c r="B99" s="637"/>
      <c r="C99" s="637"/>
      <c r="D99" s="637"/>
      <c r="E99" s="637"/>
      <c r="F99" s="637"/>
      <c r="G99" s="637"/>
      <c r="H99" s="637"/>
      <c r="I99" s="637"/>
      <c r="J99" s="637"/>
    </row>
    <row r="100" spans="1:10" x14ac:dyDescent="0.2">
      <c r="A100" s="626"/>
      <c r="B100" s="637"/>
      <c r="C100" s="637"/>
      <c r="D100" s="637"/>
      <c r="E100" s="637"/>
      <c r="F100" s="637"/>
      <c r="G100" s="637"/>
      <c r="H100" s="637"/>
      <c r="I100" s="637"/>
      <c r="J100" s="637"/>
    </row>
    <row r="101" spans="1:10" x14ac:dyDescent="0.2">
      <c r="A101" s="626"/>
      <c r="B101" s="637"/>
      <c r="C101" s="637"/>
      <c r="D101" s="637"/>
      <c r="E101" s="637"/>
      <c r="F101" s="637"/>
      <c r="G101" s="637"/>
      <c r="H101" s="637"/>
      <c r="I101" s="637"/>
      <c r="J101" s="637"/>
    </row>
    <row r="102" spans="1:10" x14ac:dyDescent="0.2">
      <c r="A102" s="625"/>
      <c r="B102" s="637"/>
      <c r="C102" s="637"/>
      <c r="D102" s="637"/>
      <c r="E102" s="637"/>
      <c r="F102" s="637"/>
      <c r="G102" s="637"/>
      <c r="H102" s="637"/>
      <c r="I102" s="637"/>
      <c r="J102" s="637"/>
    </row>
    <row r="103" spans="1:10" x14ac:dyDescent="0.2">
      <c r="A103" s="626"/>
      <c r="B103" s="637"/>
      <c r="C103" s="637"/>
      <c r="D103" s="637"/>
      <c r="E103" s="637"/>
      <c r="F103" s="637"/>
      <c r="G103" s="637"/>
      <c r="H103" s="637"/>
      <c r="I103" s="637"/>
      <c r="J103" s="637"/>
    </row>
    <row r="104" spans="1:10" x14ac:dyDescent="0.2">
      <c r="A104" s="626"/>
      <c r="B104" s="637"/>
      <c r="C104" s="637"/>
      <c r="D104" s="637"/>
      <c r="E104" s="637"/>
      <c r="F104" s="637"/>
      <c r="G104" s="637"/>
      <c r="H104" s="637"/>
      <c r="I104" s="637"/>
      <c r="J104" s="637"/>
    </row>
    <row r="105" spans="1:10" x14ac:dyDescent="0.2">
      <c r="A105" s="626"/>
      <c r="B105" s="637"/>
      <c r="C105" s="637"/>
      <c r="D105" s="637"/>
      <c r="E105" s="637"/>
      <c r="F105" s="637"/>
      <c r="G105" s="637"/>
      <c r="H105" s="637"/>
      <c r="I105" s="637"/>
      <c r="J105" s="637"/>
    </row>
    <row r="106" spans="1:10" x14ac:dyDescent="0.2">
      <c r="A106" s="625"/>
      <c r="B106" s="637"/>
      <c r="C106" s="637"/>
      <c r="D106" s="637"/>
      <c r="E106" s="637"/>
      <c r="F106" s="637"/>
      <c r="G106" s="637"/>
      <c r="H106" s="637"/>
      <c r="I106" s="637"/>
      <c r="J106" s="637"/>
    </row>
    <row r="107" spans="1:10" x14ac:dyDescent="0.2">
      <c r="A107" s="626"/>
      <c r="B107" s="637"/>
      <c r="C107" s="637"/>
      <c r="D107" s="637"/>
      <c r="E107" s="637"/>
      <c r="F107" s="637"/>
      <c r="G107" s="637"/>
      <c r="H107" s="637"/>
      <c r="I107" s="637"/>
      <c r="J107" s="637"/>
    </row>
    <row r="108" spans="1:10" x14ac:dyDescent="0.2">
      <c r="A108" s="626"/>
      <c r="B108" s="637"/>
      <c r="C108" s="637"/>
      <c r="D108" s="637"/>
      <c r="E108" s="637"/>
      <c r="F108" s="637"/>
      <c r="G108" s="637"/>
      <c r="H108" s="637"/>
      <c r="I108" s="637"/>
      <c r="J108" s="637"/>
    </row>
    <row r="109" spans="1:10" x14ac:dyDescent="0.2">
      <c r="A109" s="626"/>
      <c r="B109" s="637"/>
      <c r="C109" s="637"/>
      <c r="D109" s="637"/>
      <c r="E109" s="637"/>
      <c r="F109" s="637"/>
      <c r="G109" s="637"/>
      <c r="H109" s="637"/>
      <c r="I109" s="637"/>
      <c r="J109" s="637"/>
    </row>
    <row r="110" spans="1:10" x14ac:dyDescent="0.2">
      <c r="A110" s="626"/>
      <c r="B110" s="637"/>
      <c r="C110" s="637"/>
      <c r="D110" s="637"/>
      <c r="E110" s="637"/>
      <c r="F110" s="637"/>
      <c r="G110" s="637"/>
      <c r="H110" s="637"/>
      <c r="I110" s="637"/>
      <c r="J110" s="637"/>
    </row>
    <row r="111" spans="1:10" x14ac:dyDescent="0.2">
      <c r="A111" s="625"/>
      <c r="B111" s="637"/>
      <c r="C111" s="637"/>
      <c r="D111" s="637"/>
      <c r="E111" s="637"/>
      <c r="F111" s="637"/>
      <c r="G111" s="637"/>
      <c r="H111" s="637"/>
      <c r="I111" s="637"/>
      <c r="J111" s="637"/>
    </row>
    <row r="112" spans="1:10" x14ac:dyDescent="0.2">
      <c r="A112" s="626"/>
      <c r="B112" s="637"/>
      <c r="C112" s="637"/>
      <c r="D112" s="637"/>
      <c r="E112" s="637"/>
      <c r="F112" s="637"/>
      <c r="G112" s="637"/>
      <c r="H112" s="637"/>
      <c r="I112" s="637"/>
      <c r="J112" s="637"/>
    </row>
    <row r="113" spans="1:10" x14ac:dyDescent="0.2">
      <c r="A113" s="626"/>
      <c r="B113" s="637"/>
      <c r="C113" s="637"/>
      <c r="D113" s="637"/>
      <c r="E113" s="637"/>
      <c r="F113" s="637"/>
      <c r="G113" s="637"/>
      <c r="H113" s="637"/>
      <c r="I113" s="637"/>
      <c r="J113" s="637"/>
    </row>
    <row r="114" spans="1:10" x14ac:dyDescent="0.2">
      <c r="A114" s="626"/>
      <c r="B114" s="637"/>
      <c r="C114" s="637"/>
      <c r="D114" s="637"/>
      <c r="E114" s="637"/>
      <c r="F114" s="637"/>
      <c r="G114" s="637"/>
      <c r="H114" s="637"/>
      <c r="I114" s="637"/>
      <c r="J114" s="637"/>
    </row>
    <row r="115" spans="1:10" x14ac:dyDescent="0.2">
      <c r="A115" s="626"/>
      <c r="B115" s="637"/>
      <c r="C115" s="637"/>
      <c r="D115" s="637"/>
      <c r="E115" s="637"/>
      <c r="F115" s="637"/>
      <c r="G115" s="637"/>
      <c r="H115" s="637"/>
      <c r="I115" s="637"/>
      <c r="J115" s="637"/>
    </row>
    <row r="116" spans="1:10" x14ac:dyDescent="0.2">
      <c r="A116" s="624"/>
      <c r="B116" s="637"/>
      <c r="C116" s="637"/>
      <c r="D116" s="637"/>
      <c r="E116" s="637"/>
      <c r="F116" s="637"/>
      <c r="G116" s="637"/>
      <c r="H116" s="637"/>
      <c r="I116" s="637"/>
      <c r="J116" s="637"/>
    </row>
    <row r="117" spans="1:10" x14ac:dyDescent="0.2">
      <c r="A117" s="625"/>
      <c r="B117" s="637"/>
      <c r="C117" s="637"/>
      <c r="D117" s="637"/>
      <c r="E117" s="637"/>
      <c r="F117" s="637"/>
      <c r="G117" s="637"/>
      <c r="H117" s="637"/>
      <c r="I117" s="637"/>
      <c r="J117" s="637"/>
    </row>
    <row r="118" spans="1:10" x14ac:dyDescent="0.2">
      <c r="A118" s="625"/>
      <c r="B118" s="637"/>
      <c r="C118" s="637"/>
      <c r="D118" s="637"/>
      <c r="E118" s="637"/>
      <c r="F118" s="637"/>
      <c r="G118" s="637"/>
      <c r="H118" s="637"/>
      <c r="I118" s="637"/>
      <c r="J118" s="637"/>
    </row>
    <row r="119" spans="1:10" x14ac:dyDescent="0.2">
      <c r="A119" s="625"/>
      <c r="B119" s="637"/>
      <c r="C119" s="637"/>
      <c r="D119" s="637"/>
      <c r="E119" s="637"/>
      <c r="F119" s="637"/>
      <c r="G119" s="637"/>
      <c r="H119" s="637"/>
      <c r="I119" s="637"/>
      <c r="J119" s="637"/>
    </row>
    <row r="120" spans="1:10" x14ac:dyDescent="0.2">
      <c r="A120" s="625"/>
      <c r="B120" s="637"/>
      <c r="C120" s="637"/>
      <c r="D120" s="637"/>
      <c r="E120" s="637"/>
      <c r="F120" s="637"/>
      <c r="G120" s="637"/>
      <c r="H120" s="637"/>
      <c r="I120" s="637"/>
      <c r="J120" s="637"/>
    </row>
    <row r="121" spans="1:10" x14ac:dyDescent="0.2">
      <c r="A121" s="625"/>
      <c r="B121" s="637"/>
      <c r="C121" s="637"/>
      <c r="D121" s="637"/>
      <c r="E121" s="637"/>
      <c r="F121" s="637"/>
      <c r="G121" s="637"/>
      <c r="H121" s="637"/>
      <c r="I121" s="637"/>
      <c r="J121" s="637"/>
    </row>
    <row r="122" spans="1:10" x14ac:dyDescent="0.2">
      <c r="A122" s="625"/>
      <c r="B122" s="637"/>
      <c r="C122" s="637"/>
      <c r="D122" s="637"/>
      <c r="E122" s="637"/>
      <c r="F122" s="637"/>
      <c r="G122" s="637"/>
      <c r="H122" s="637"/>
      <c r="I122" s="637"/>
      <c r="J122" s="637"/>
    </row>
    <row r="123" spans="1:10" x14ac:dyDescent="0.2">
      <c r="A123" s="624"/>
      <c r="B123" s="637"/>
      <c r="C123" s="637"/>
      <c r="D123" s="637"/>
      <c r="E123" s="637"/>
      <c r="F123" s="637"/>
      <c r="G123" s="637"/>
      <c r="H123" s="637"/>
      <c r="I123" s="637"/>
      <c r="J123" s="637"/>
    </row>
  </sheetData>
  <pageMargins left="0.7" right="0.7" top="0.75" bottom="0.75" header="0.3" footer="0.3"/>
  <customProperties>
    <customPr name="_pios_id" r:id="rId1"/>
    <customPr name="CofWorksheetType"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6"/>
  </sheetPr>
  <dimension ref="A1"/>
  <sheetViews>
    <sheetView showGridLines="0" topLeftCell="A3" zoomScaleNormal="100" workbookViewId="0"/>
  </sheetViews>
  <sheetFormatPr defaultColWidth="9.28515625" defaultRowHeight="12.75" x14ac:dyDescent="0.2"/>
  <cols>
    <col min="1" max="16384" width="9.28515625" style="618"/>
  </cols>
  <sheetData>
    <row r="1" spans="1:1" ht="38.25" x14ac:dyDescent="0.2">
      <c r="A1" s="766" t="s">
        <v>165</v>
      </c>
    </row>
  </sheetData>
  <pageMargins left="0.75" right="0.75" top="1" bottom="1" header="0.5" footer="0.5"/>
  <pageSetup orientation="portrait" r:id="rId1"/>
  <headerFooter alignWithMargins="0"/>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W259"/>
  <sheetViews>
    <sheetView showGridLines="0" showZeros="0" zoomScaleNormal="10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72.7109375" style="21" bestFit="1" customWidth="1"/>
    <col min="2" max="2" width="3" style="47" customWidth="1"/>
    <col min="3" max="11" width="9.28515625" style="21" customWidth="1"/>
    <col min="12" max="23" width="0" style="21" hidden="1" customWidth="1"/>
    <col min="24" max="16384" width="9.28515625" style="21"/>
  </cols>
  <sheetData>
    <row r="1" spans="1:23" ht="15.6" customHeight="1" x14ac:dyDescent="0.25">
      <c r="A1" s="839" t="str">
        <f>muni&amp; " - "&amp;S71D&amp; " - "&amp;"A"&amp; " - "&amp;date</f>
        <v>KZN282 uMhlathuze - Table C5 Monthly Budget Statement - Capital Expenditure (municipal vote, functional classification and funding) - A - M10 April</v>
      </c>
      <c r="B1" s="839"/>
      <c r="C1" s="839"/>
      <c r="D1" s="839"/>
      <c r="E1" s="839"/>
      <c r="F1" s="839"/>
      <c r="G1" s="839"/>
      <c r="H1" s="839"/>
      <c r="I1" s="839"/>
      <c r="J1" s="839"/>
      <c r="K1" s="839"/>
    </row>
    <row r="2" spans="1:23" ht="28.5" customHeight="1" x14ac:dyDescent="0.25">
      <c r="A2" s="204" t="str">
        <f>Vdesc</f>
        <v>Vote Description</v>
      </c>
      <c r="B2" s="205" t="str">
        <f>head27</f>
        <v>Ref</v>
      </c>
      <c r="C2" s="77" t="str">
        <f>Head1</f>
        <v>2023/24</v>
      </c>
      <c r="D2" s="832" t="str">
        <f>Head2</f>
        <v>Budget Year 2024/25</v>
      </c>
      <c r="E2" s="833"/>
      <c r="F2" s="833"/>
      <c r="G2" s="833"/>
      <c r="H2" s="833"/>
      <c r="I2" s="833"/>
      <c r="J2" s="833"/>
      <c r="K2" s="834"/>
      <c r="L2" s="843" t="e">
        <f>Head4</f>
        <v>#NAME?</v>
      </c>
      <c r="M2" s="844"/>
      <c r="N2" s="844"/>
      <c r="O2" s="844"/>
      <c r="P2" s="844"/>
      <c r="Q2" s="844"/>
      <c r="R2" s="844"/>
      <c r="S2" s="844"/>
      <c r="T2" s="844"/>
      <c r="U2" s="844"/>
      <c r="V2" s="844"/>
      <c r="W2" s="845"/>
    </row>
    <row r="3" spans="1:23" ht="25.5" x14ac:dyDescent="0.25">
      <c r="A3" s="208" t="s">
        <v>103</v>
      </c>
      <c r="B3" s="209"/>
      <c r="C3" s="95" t="str">
        <f>Head5</f>
        <v>Audited Outcome</v>
      </c>
      <c r="D3" s="80" t="str">
        <f>Head6</f>
        <v>Original Budget</v>
      </c>
      <c r="E3" s="22" t="str">
        <f>Head7</f>
        <v>Adjusted Budget</v>
      </c>
      <c r="F3" s="22" t="str">
        <f>Head38</f>
        <v>Monthly actual</v>
      </c>
      <c r="G3" s="22" t="str">
        <f>Head39</f>
        <v>YearTD actual</v>
      </c>
      <c r="H3" s="22" t="str">
        <f>Head40</f>
        <v>YearTD budget</v>
      </c>
      <c r="I3" s="22" t="str">
        <f>Head41</f>
        <v>YTD variance</v>
      </c>
      <c r="J3" s="323" t="str">
        <f>Head41</f>
        <v>YTD variance</v>
      </c>
      <c r="K3" s="95" t="str">
        <f>Head8</f>
        <v>Full Year Forecast</v>
      </c>
      <c r="L3" s="337" t="str">
        <f>Head12</f>
        <v>Forecast 2010/11</v>
      </c>
      <c r="M3" s="338" t="str">
        <f>Head13</f>
        <v>Forecast 2011/12</v>
      </c>
      <c r="N3" s="338" t="str">
        <f>Head14</f>
        <v>Forecast 2012/13</v>
      </c>
      <c r="O3" s="338" t="str">
        <f>Head15</f>
        <v>Forecast 2013/14</v>
      </c>
      <c r="P3" s="338" t="str">
        <f>Head16</f>
        <v>Forecast 2014/15</v>
      </c>
      <c r="Q3" s="338" t="str">
        <f>Head17</f>
        <v>Forecast 2015/16</v>
      </c>
      <c r="R3" s="338" t="str">
        <f>Head18</f>
        <v>Forecast 2016/17</v>
      </c>
      <c r="S3" s="338" t="str">
        <f>Head19</f>
        <v>Forecast 2017/18</v>
      </c>
      <c r="T3" s="338" t="str">
        <f>Head20</f>
        <v>Forecast 2018/19</v>
      </c>
      <c r="U3" s="338" t="str">
        <f>Head21</f>
        <v>Forecast 2019/20</v>
      </c>
      <c r="V3" s="338" t="str">
        <f>Head22</f>
        <v>Forecast 2020/21</v>
      </c>
      <c r="W3" s="338" t="str">
        <f>Head23</f>
        <v>Forecast 2021/22</v>
      </c>
    </row>
    <row r="4" spans="1:23" ht="11.25" customHeight="1" x14ac:dyDescent="0.25">
      <c r="A4" s="28"/>
      <c r="B4" s="206"/>
      <c r="C4" s="120"/>
      <c r="D4" s="134"/>
      <c r="E4" s="135"/>
      <c r="F4" s="57"/>
      <c r="G4" s="57"/>
      <c r="H4" s="57"/>
      <c r="I4" s="57"/>
      <c r="J4" s="324" t="s">
        <v>528</v>
      </c>
      <c r="K4" s="120"/>
      <c r="L4" s="339"/>
      <c r="M4" s="340"/>
      <c r="N4" s="340"/>
      <c r="O4" s="340"/>
      <c r="P4" s="340"/>
      <c r="Q4" s="340"/>
      <c r="R4" s="340"/>
      <c r="S4" s="340"/>
      <c r="T4" s="340"/>
      <c r="U4" s="340"/>
      <c r="V4" s="340"/>
      <c r="W4" s="340"/>
    </row>
    <row r="5" spans="1:23" ht="11.25" customHeight="1" x14ac:dyDescent="0.25">
      <c r="A5" s="29" t="s">
        <v>740</v>
      </c>
      <c r="B5" s="209"/>
      <c r="C5" s="341"/>
      <c r="D5" s="342"/>
      <c r="E5" s="343"/>
      <c r="F5" s="344"/>
      <c r="G5" s="345"/>
      <c r="H5" s="344"/>
      <c r="I5" s="345"/>
      <c r="J5" s="346"/>
      <c r="K5" s="705"/>
      <c r="L5" s="339"/>
      <c r="M5" s="340"/>
      <c r="N5" s="340"/>
      <c r="O5" s="340"/>
      <c r="P5" s="340"/>
      <c r="Q5" s="340"/>
      <c r="R5" s="340"/>
      <c r="S5" s="340"/>
      <c r="T5" s="340"/>
      <c r="U5" s="340"/>
      <c r="V5" s="340"/>
      <c r="W5" s="340"/>
    </row>
    <row r="6" spans="1:23" ht="11.25" customHeight="1" x14ac:dyDescent="0.25">
      <c r="A6" s="29" t="s">
        <v>743</v>
      </c>
      <c r="B6" s="197">
        <v>1</v>
      </c>
      <c r="C6" s="706"/>
      <c r="D6" s="503"/>
      <c r="E6" s="87"/>
      <c r="F6" s="344"/>
      <c r="G6" s="345"/>
      <c r="H6" s="344"/>
      <c r="I6" s="345"/>
      <c r="J6" s="346"/>
      <c r="K6" s="706"/>
      <c r="L6" s="339"/>
      <c r="M6" s="340"/>
      <c r="N6" s="340"/>
      <c r="O6" s="340"/>
      <c r="P6" s="340"/>
      <c r="Q6" s="340"/>
      <c r="R6" s="340"/>
      <c r="S6" s="340"/>
      <c r="T6" s="340"/>
      <c r="U6" s="340"/>
      <c r="V6" s="340"/>
      <c r="W6" s="340"/>
    </row>
    <row r="7" spans="1:23" ht="11.25" customHeight="1" x14ac:dyDescent="0.25">
      <c r="A7" s="66" t="str">
        <f>'Org structure'!A2</f>
        <v>Vote 1 - CITY DEVELOPMENT</v>
      </c>
      <c r="B7" s="132"/>
      <c r="C7" s="707">
        <f>SUM(C8:C19)</f>
        <v>20037634.140000001</v>
      </c>
      <c r="D7" s="350">
        <f t="shared" ref="D7:H7" si="0">SUM(D8:D19)</f>
        <v>38443000</v>
      </c>
      <c r="E7" s="348">
        <f t="shared" si="0"/>
        <v>52343000</v>
      </c>
      <c r="F7" s="348">
        <f t="shared" si="0"/>
        <v>0</v>
      </c>
      <c r="G7" s="348">
        <f t="shared" si="0"/>
        <v>12370406.369999999</v>
      </c>
      <c r="H7" s="348">
        <f t="shared" si="0"/>
        <v>24826175.800000001</v>
      </c>
      <c r="I7" s="38">
        <f t="shared" ref="I7:I47" si="1">G7-H7</f>
        <v>-12455769.430000002</v>
      </c>
      <c r="J7" s="405">
        <f>IF(H7=0,"",I7/H7)</f>
        <v>-0.50171921484580806</v>
      </c>
      <c r="K7" s="707">
        <f t="shared" ref="K7" si="2">SUM(K8:K19)</f>
        <v>52343000</v>
      </c>
      <c r="L7" s="339"/>
      <c r="M7" s="340"/>
      <c r="N7" s="340"/>
      <c r="O7" s="340"/>
      <c r="P7" s="340"/>
      <c r="Q7" s="340"/>
      <c r="R7" s="340"/>
      <c r="S7" s="340"/>
      <c r="T7" s="340"/>
      <c r="U7" s="340"/>
      <c r="V7" s="340"/>
      <c r="W7" s="340"/>
    </row>
    <row r="8" spans="1:23" ht="11.25" customHeight="1" x14ac:dyDescent="0.25">
      <c r="A8" s="30" t="str">
        <f>'Org structure'!E3</f>
        <v>1.1 - FX005001014 - Valuation Service (Finance and Administration) - BR</v>
      </c>
      <c r="B8" s="197"/>
      <c r="C8" s="708">
        <f>'C5Q'!B6</f>
        <v>0</v>
      </c>
      <c r="D8" s="703">
        <f>'C5Q'!C6</f>
        <v>0</v>
      </c>
      <c r="E8" s="352">
        <f>'C5Q'!D6</f>
        <v>0</v>
      </c>
      <c r="F8" s="352">
        <f>'C5Q'!E6</f>
        <v>0</v>
      </c>
      <c r="G8" s="352">
        <f>'C5Q'!F6</f>
        <v>0</v>
      </c>
      <c r="H8" s="352">
        <f>'C5Q'!G6</f>
        <v>0</v>
      </c>
      <c r="I8" s="38">
        <f t="shared" si="1"/>
        <v>0</v>
      </c>
      <c r="J8" s="405" t="str">
        <f t="shared" ref="J8:J71" si="3">IF(H8=0,"",I8/H8)</f>
        <v/>
      </c>
      <c r="K8" s="708">
        <f>'C5Q'!J6</f>
        <v>0</v>
      </c>
      <c r="L8" s="339"/>
      <c r="M8" s="340"/>
      <c r="N8" s="340"/>
      <c r="O8" s="340"/>
      <c r="P8" s="340"/>
      <c r="Q8" s="340"/>
      <c r="R8" s="340"/>
      <c r="S8" s="340"/>
      <c r="T8" s="340"/>
      <c r="U8" s="340"/>
      <c r="V8" s="340"/>
      <c r="W8" s="340"/>
    </row>
    <row r="9" spans="1:23" ht="11.25" customHeight="1" x14ac:dyDescent="0.25">
      <c r="A9" s="30" t="str">
        <f>'Org structure'!E4</f>
        <v>1.2 - FX007001001 - Housing (Housing) - BT</v>
      </c>
      <c r="B9" s="197"/>
      <c r="C9" s="708">
        <f>'C5Q'!B7</f>
        <v>0</v>
      </c>
      <c r="D9" s="703">
        <f>'C5Q'!C7</f>
        <v>3198000</v>
      </c>
      <c r="E9" s="352">
        <f>'C5Q'!D7</f>
        <v>3198000</v>
      </c>
      <c r="F9" s="352">
        <f>'C5Q'!E7</f>
        <v>0</v>
      </c>
      <c r="G9" s="352">
        <f>'C5Q'!F7</f>
        <v>0</v>
      </c>
      <c r="H9" s="352">
        <f>'C5Q'!G7</f>
        <v>1599000</v>
      </c>
      <c r="I9" s="38">
        <f t="shared" si="1"/>
        <v>-1599000</v>
      </c>
      <c r="J9" s="405">
        <f t="shared" si="3"/>
        <v>-1</v>
      </c>
      <c r="K9" s="708">
        <f>'C5Q'!J7</f>
        <v>3198000</v>
      </c>
      <c r="L9" s="339"/>
      <c r="M9" s="340"/>
      <c r="N9" s="340"/>
      <c r="O9" s="340"/>
      <c r="P9" s="340"/>
      <c r="Q9" s="340"/>
      <c r="R9" s="340"/>
      <c r="S9" s="340"/>
      <c r="T9" s="340"/>
      <c r="U9" s="340"/>
      <c r="V9" s="340"/>
      <c r="W9" s="340"/>
    </row>
    <row r="10" spans="1:23" ht="11.25" customHeight="1" x14ac:dyDescent="0.25">
      <c r="A10" s="30" t="str">
        <f>'Org structure'!E5</f>
        <v>1.3 - FX009002006 - Tourism (Other) - BX</v>
      </c>
      <c r="B10" s="197"/>
      <c r="C10" s="708">
        <f>'C5Q'!B8</f>
        <v>0</v>
      </c>
      <c r="D10" s="703">
        <f>'C5Q'!C8</f>
        <v>0</v>
      </c>
      <c r="E10" s="352">
        <f>'C5Q'!D8</f>
        <v>0</v>
      </c>
      <c r="F10" s="352">
        <f>'C5Q'!E8</f>
        <v>0</v>
      </c>
      <c r="G10" s="352">
        <f>'C5Q'!F8</f>
        <v>0</v>
      </c>
      <c r="H10" s="352">
        <f>'C5Q'!G8</f>
        <v>0</v>
      </c>
      <c r="I10" s="38">
        <f t="shared" si="1"/>
        <v>0</v>
      </c>
      <c r="J10" s="405" t="str">
        <f t="shared" si="3"/>
        <v/>
      </c>
      <c r="K10" s="708">
        <f>'C5Q'!J8</f>
        <v>0</v>
      </c>
      <c r="L10" s="339"/>
      <c r="M10" s="340"/>
      <c r="N10" s="340"/>
      <c r="O10" s="340"/>
      <c r="P10" s="340"/>
      <c r="Q10" s="340"/>
      <c r="R10" s="340"/>
      <c r="S10" s="340"/>
      <c r="T10" s="340"/>
      <c r="U10" s="340"/>
      <c r="V10" s="340"/>
      <c r="W10" s="340"/>
    </row>
    <row r="11" spans="1:23" ht="11.25" customHeight="1" x14ac:dyDescent="0.25">
      <c r="A11" s="30" t="str">
        <f>'Org structure'!E6</f>
        <v>1.4 - FX010001001 - Billboards (Planning and Development) - BY</v>
      </c>
      <c r="B11" s="197"/>
      <c r="C11" s="708">
        <f>'C5Q'!B9</f>
        <v>0</v>
      </c>
      <c r="D11" s="703">
        <f>'C5Q'!C9</f>
        <v>0</v>
      </c>
      <c r="E11" s="352">
        <f>'C5Q'!D9</f>
        <v>0</v>
      </c>
      <c r="F11" s="352">
        <f>'C5Q'!E9</f>
        <v>0</v>
      </c>
      <c r="G11" s="352">
        <f>'C5Q'!F9</f>
        <v>0</v>
      </c>
      <c r="H11" s="352">
        <f>'C5Q'!G9</f>
        <v>0</v>
      </c>
      <c r="I11" s="38">
        <f t="shared" si="1"/>
        <v>0</v>
      </c>
      <c r="J11" s="405" t="str">
        <f t="shared" si="3"/>
        <v/>
      </c>
      <c r="K11" s="708">
        <f>'C5Q'!J9</f>
        <v>0</v>
      </c>
      <c r="L11" s="339"/>
      <c r="M11" s="340"/>
      <c r="N11" s="340"/>
      <c r="O11" s="340"/>
      <c r="P11" s="340"/>
      <c r="Q11" s="340"/>
      <c r="R11" s="340"/>
      <c r="S11" s="340"/>
      <c r="T11" s="340"/>
      <c r="U11" s="340"/>
      <c r="V11" s="340"/>
      <c r="W11" s="340"/>
    </row>
    <row r="12" spans="1:23" ht="11.25" customHeight="1" x14ac:dyDescent="0.25">
      <c r="A12" s="30" t="str">
        <f>'Org structure'!E7</f>
        <v>1.5 - FX010001002 - Corporate Wide Strategic Planning (IDPs, LEDs) (Planning and Development) - BZ</v>
      </c>
      <c r="B12" s="197"/>
      <c r="C12" s="708">
        <f>'C5Q'!B10</f>
        <v>0</v>
      </c>
      <c r="D12" s="703">
        <f>'C5Q'!C10</f>
        <v>0</v>
      </c>
      <c r="E12" s="352">
        <f>'C5Q'!D10</f>
        <v>0</v>
      </c>
      <c r="F12" s="352">
        <f>'C5Q'!E10</f>
        <v>0</v>
      </c>
      <c r="G12" s="352">
        <f>'C5Q'!F10</f>
        <v>0</v>
      </c>
      <c r="H12" s="352">
        <f>'C5Q'!G10</f>
        <v>0</v>
      </c>
      <c r="I12" s="38">
        <f t="shared" si="1"/>
        <v>0</v>
      </c>
      <c r="J12" s="405" t="str">
        <f t="shared" si="3"/>
        <v/>
      </c>
      <c r="K12" s="708">
        <f>'C5Q'!J10</f>
        <v>0</v>
      </c>
      <c r="L12" s="339"/>
      <c r="M12" s="340"/>
      <c r="N12" s="340"/>
      <c r="O12" s="340"/>
      <c r="P12" s="340"/>
      <c r="Q12" s="340"/>
      <c r="R12" s="340"/>
      <c r="S12" s="340"/>
      <c r="T12" s="340"/>
      <c r="U12" s="340"/>
      <c r="V12" s="340"/>
      <c r="W12" s="340"/>
    </row>
    <row r="13" spans="1:23" ht="11.25" customHeight="1" x14ac:dyDescent="0.25">
      <c r="A13" s="30" t="str">
        <f>'Org structure'!E8</f>
        <v>1.6 - FX010001004 - Development Facilitation (Planning and Deveopment) - CA</v>
      </c>
      <c r="B13" s="197"/>
      <c r="C13" s="708">
        <f>'C5Q'!B11</f>
        <v>0</v>
      </c>
      <c r="D13" s="703">
        <f>'C5Q'!C11</f>
        <v>0</v>
      </c>
      <c r="E13" s="352">
        <f>'C5Q'!D11</f>
        <v>0</v>
      </c>
      <c r="F13" s="352">
        <f>'C5Q'!E11</f>
        <v>0</v>
      </c>
      <c r="G13" s="352">
        <f>'C5Q'!F11</f>
        <v>0</v>
      </c>
      <c r="H13" s="352">
        <f>'C5Q'!G11</f>
        <v>0</v>
      </c>
      <c r="I13" s="38">
        <f t="shared" si="1"/>
        <v>0</v>
      </c>
      <c r="J13" s="405" t="str">
        <f t="shared" si="3"/>
        <v/>
      </c>
      <c r="K13" s="708">
        <f>'C5Q'!J11</f>
        <v>0</v>
      </c>
      <c r="L13" s="339"/>
      <c r="M13" s="340"/>
      <c r="N13" s="340"/>
      <c r="O13" s="340"/>
      <c r="P13" s="340"/>
      <c r="Q13" s="340"/>
      <c r="R13" s="340"/>
      <c r="S13" s="340"/>
      <c r="T13" s="340"/>
      <c r="U13" s="340"/>
      <c r="V13" s="340"/>
      <c r="W13" s="340"/>
    </row>
    <row r="14" spans="1:23" ht="11.25" customHeight="1" x14ac:dyDescent="0.25">
      <c r="A14" s="30" t="str">
        <f>'Org structure'!E9</f>
        <v>1.7 - FX010001005 - Economic Development/Planning (Planning and Development) - CC</v>
      </c>
      <c r="B14" s="197"/>
      <c r="C14" s="708">
        <f>'C5Q'!B12</f>
        <v>17201623.140000001</v>
      </c>
      <c r="D14" s="703">
        <f>'C5Q'!C12</f>
        <v>35167000</v>
      </c>
      <c r="E14" s="352">
        <f>'C5Q'!D12</f>
        <v>49067000</v>
      </c>
      <c r="F14" s="352">
        <f>'C5Q'!E12</f>
        <v>0</v>
      </c>
      <c r="G14" s="352">
        <f>'C5Q'!F12</f>
        <v>12370406.369999999</v>
      </c>
      <c r="H14" s="352">
        <f>'C5Q'!G12</f>
        <v>23149175.800000001</v>
      </c>
      <c r="I14" s="38">
        <f t="shared" si="1"/>
        <v>-10778769.430000002</v>
      </c>
      <c r="J14" s="405">
        <f t="shared" si="3"/>
        <v>-0.46562216828471281</v>
      </c>
      <c r="K14" s="708">
        <f>'C5Q'!J12</f>
        <v>49067000</v>
      </c>
      <c r="L14" s="339"/>
      <c r="M14" s="340"/>
      <c r="N14" s="340"/>
      <c r="O14" s="340"/>
      <c r="P14" s="340"/>
      <c r="Q14" s="340"/>
      <c r="R14" s="340"/>
      <c r="S14" s="340"/>
      <c r="T14" s="340"/>
      <c r="U14" s="340"/>
      <c r="V14" s="340"/>
      <c r="W14" s="340"/>
    </row>
    <row r="15" spans="1:23" ht="11.25" customHeight="1" x14ac:dyDescent="0.25">
      <c r="A15" s="30" t="str">
        <f>'Org structure'!E10</f>
        <v>1.8 - FX010001006 - Town Planning, Building Regulations and Enforcement, and City Engineer (Planning and Development) - CD</v>
      </c>
      <c r="B15" s="197"/>
      <c r="C15" s="708">
        <f>'C5Q'!B13</f>
        <v>0</v>
      </c>
      <c r="D15" s="703">
        <f>'C5Q'!C13</f>
        <v>0</v>
      </c>
      <c r="E15" s="352">
        <f>'C5Q'!D13</f>
        <v>0</v>
      </c>
      <c r="F15" s="352">
        <f>'C5Q'!E13</f>
        <v>0</v>
      </c>
      <c r="G15" s="352">
        <f>'C5Q'!F13</f>
        <v>0</v>
      </c>
      <c r="H15" s="352">
        <f>'C5Q'!G13</f>
        <v>0</v>
      </c>
      <c r="I15" s="38">
        <f t="shared" si="1"/>
        <v>0</v>
      </c>
      <c r="J15" s="405" t="str">
        <f t="shared" si="3"/>
        <v/>
      </c>
      <c r="K15" s="708">
        <f>'C5Q'!J13</f>
        <v>0</v>
      </c>
      <c r="L15" s="339"/>
      <c r="M15" s="340"/>
      <c r="N15" s="340"/>
      <c r="O15" s="340"/>
      <c r="P15" s="340"/>
      <c r="Q15" s="340"/>
      <c r="R15" s="340"/>
      <c r="S15" s="340"/>
      <c r="T15" s="340"/>
      <c r="U15" s="340"/>
      <c r="V15" s="340"/>
      <c r="W15" s="340"/>
    </row>
    <row r="16" spans="1:23" ht="11.25" customHeight="1" x14ac:dyDescent="0.25">
      <c r="A16" s="30" t="str">
        <f>'Org structure'!E11</f>
        <v>1.9 - FX003001003 - Pollution Control (Environmental Protection) - AR</v>
      </c>
      <c r="B16" s="197"/>
      <c r="C16" s="708">
        <f>'C5Q'!B14</f>
        <v>2836011</v>
      </c>
      <c r="D16" s="703">
        <f>'C5Q'!C14</f>
        <v>78000</v>
      </c>
      <c r="E16" s="352">
        <f>'C5Q'!D14</f>
        <v>78000</v>
      </c>
      <c r="F16" s="352">
        <f>'C5Q'!E14</f>
        <v>0</v>
      </c>
      <c r="G16" s="352">
        <f>'C5Q'!F14</f>
        <v>0</v>
      </c>
      <c r="H16" s="352">
        <f>'C5Q'!G14</f>
        <v>78000</v>
      </c>
      <c r="I16" s="38">
        <f t="shared" si="1"/>
        <v>-78000</v>
      </c>
      <c r="J16" s="405">
        <f t="shared" si="3"/>
        <v>-1</v>
      </c>
      <c r="K16" s="708">
        <f>'C5Q'!J14</f>
        <v>78000</v>
      </c>
      <c r="L16" s="339"/>
      <c r="M16" s="340"/>
      <c r="N16" s="340"/>
      <c r="O16" s="340"/>
      <c r="P16" s="340"/>
      <c r="Q16" s="340"/>
      <c r="R16" s="340"/>
      <c r="S16" s="340"/>
      <c r="T16" s="340"/>
      <c r="U16" s="340"/>
      <c r="V16" s="340"/>
      <c r="W16" s="340"/>
    </row>
    <row r="17" spans="1:23" ht="11.25" customHeight="1" x14ac:dyDescent="0.25">
      <c r="A17" s="30" t="str">
        <f>'Org structure'!E12</f>
        <v>1.10 - FX005001010 - Property Services (Finance and Administration) - BN</v>
      </c>
      <c r="B17" s="197"/>
      <c r="C17" s="708">
        <f>'C5Q'!B15</f>
        <v>0</v>
      </c>
      <c r="D17" s="703">
        <f>'C5Q'!C15</f>
        <v>0</v>
      </c>
      <c r="E17" s="352">
        <f>'C5Q'!D15</f>
        <v>0</v>
      </c>
      <c r="F17" s="352">
        <f>'C5Q'!E15</f>
        <v>0</v>
      </c>
      <c r="G17" s="352">
        <f>'C5Q'!F15</f>
        <v>0</v>
      </c>
      <c r="H17" s="352">
        <f>'C5Q'!G15</f>
        <v>0</v>
      </c>
      <c r="I17" s="38">
        <f t="shared" si="1"/>
        <v>0</v>
      </c>
      <c r="J17" s="405" t="str">
        <f t="shared" si="3"/>
        <v/>
      </c>
      <c r="K17" s="708">
        <f>'C5Q'!J15</f>
        <v>0</v>
      </c>
      <c r="L17" s="339"/>
      <c r="M17" s="340"/>
      <c r="N17" s="340"/>
      <c r="O17" s="340"/>
      <c r="P17" s="340"/>
      <c r="Q17" s="340"/>
      <c r="R17" s="340"/>
      <c r="S17" s="340"/>
      <c r="T17" s="340"/>
      <c r="U17" s="340"/>
      <c r="V17" s="340"/>
      <c r="W17" s="340"/>
    </row>
    <row r="18" spans="1:23" ht="11.25" customHeight="1" x14ac:dyDescent="0.25">
      <c r="A18" s="30" t="str">
        <f>'Org structure'!E13</f>
        <v>1.11 - FX009001004 - Licensing and Regulation (Other) - BW</v>
      </c>
      <c r="B18" s="197"/>
      <c r="C18" s="708">
        <f>'C5Q'!B16</f>
        <v>0</v>
      </c>
      <c r="D18" s="703">
        <f>'C5Q'!C16</f>
        <v>0</v>
      </c>
      <c r="E18" s="352">
        <f>'C5Q'!D16</f>
        <v>0</v>
      </c>
      <c r="F18" s="352">
        <f>'C5Q'!E16</f>
        <v>0</v>
      </c>
      <c r="G18" s="352">
        <f>'C5Q'!F16</f>
        <v>0</v>
      </c>
      <c r="H18" s="352">
        <f>'C5Q'!G16</f>
        <v>0</v>
      </c>
      <c r="I18" s="38">
        <f t="shared" si="1"/>
        <v>0</v>
      </c>
      <c r="J18" s="405" t="str">
        <f t="shared" si="3"/>
        <v/>
      </c>
      <c r="K18" s="708">
        <f>'C5Q'!J16</f>
        <v>0</v>
      </c>
      <c r="L18" s="339"/>
      <c r="M18" s="340"/>
      <c r="N18" s="340"/>
      <c r="O18" s="340"/>
      <c r="P18" s="340"/>
      <c r="Q18" s="340"/>
      <c r="R18" s="340"/>
      <c r="S18" s="340"/>
      <c r="T18" s="340"/>
      <c r="U18" s="340"/>
      <c r="V18" s="340"/>
      <c r="W18" s="340"/>
    </row>
    <row r="19" spans="1:23" ht="11.25" customHeight="1" x14ac:dyDescent="0.25">
      <c r="A19" s="30" t="str">
        <f>'Org structure'!E14</f>
        <v>1.12 - FX012001003001 - Public Transport Facilities and Operations Coordination (Road Transport) - DX</v>
      </c>
      <c r="B19" s="197"/>
      <c r="C19" s="708">
        <f>'C5Q'!B17</f>
        <v>0</v>
      </c>
      <c r="D19" s="703">
        <f>'C5Q'!C17</f>
        <v>0</v>
      </c>
      <c r="E19" s="352">
        <f>'C5Q'!D17</f>
        <v>0</v>
      </c>
      <c r="F19" s="352">
        <f>'C5Q'!E17</f>
        <v>0</v>
      </c>
      <c r="G19" s="352">
        <f>'C5Q'!F17</f>
        <v>0</v>
      </c>
      <c r="H19" s="352">
        <f>'C5Q'!G17</f>
        <v>0</v>
      </c>
      <c r="I19" s="38">
        <f t="shared" si="1"/>
        <v>0</v>
      </c>
      <c r="J19" s="405" t="str">
        <f t="shared" si="3"/>
        <v/>
      </c>
      <c r="K19" s="708">
        <f>'C5Q'!J17</f>
        <v>0</v>
      </c>
      <c r="L19" s="339"/>
      <c r="M19" s="340"/>
      <c r="N19" s="340"/>
      <c r="O19" s="340"/>
      <c r="P19" s="340"/>
      <c r="Q19" s="340"/>
      <c r="R19" s="340"/>
      <c r="S19" s="340"/>
      <c r="T19" s="340"/>
      <c r="U19" s="340"/>
      <c r="V19" s="340"/>
      <c r="W19" s="340"/>
    </row>
    <row r="20" spans="1:23" ht="11.25" customHeight="1" x14ac:dyDescent="0.25">
      <c r="A20" s="66" t="str">
        <f>'Org structure'!A3</f>
        <v>Vote 2 - COMMUNITY SERVICES - PUBLIC HEALTH AND EMERGENCY SERVICES</v>
      </c>
      <c r="B20" s="132"/>
      <c r="C20" s="707">
        <f t="shared" ref="C20:H20" si="4">SUM(C21:C27)</f>
        <v>11615085.130000001</v>
      </c>
      <c r="D20" s="723">
        <f t="shared" si="4"/>
        <v>30835000</v>
      </c>
      <c r="E20" s="349">
        <f t="shared" si="4"/>
        <v>28116000</v>
      </c>
      <c r="F20" s="350">
        <f t="shared" si="4"/>
        <v>199609</v>
      </c>
      <c r="G20" s="349">
        <f t="shared" si="4"/>
        <v>11801664.529999999</v>
      </c>
      <c r="H20" s="350">
        <f t="shared" si="4"/>
        <v>29237753.559999999</v>
      </c>
      <c r="I20" s="38">
        <f t="shared" si="1"/>
        <v>-17436089.030000001</v>
      </c>
      <c r="J20" s="405">
        <f t="shared" si="3"/>
        <v>-0.59635529091585937</v>
      </c>
      <c r="K20" s="707">
        <f>SUM(K21:K27)</f>
        <v>28116000</v>
      </c>
      <c r="L20" s="339"/>
      <c r="M20" s="340"/>
      <c r="N20" s="340"/>
      <c r="O20" s="340"/>
      <c r="P20" s="340"/>
      <c r="Q20" s="340"/>
      <c r="R20" s="340"/>
      <c r="S20" s="340"/>
      <c r="T20" s="340"/>
      <c r="U20" s="340"/>
      <c r="V20" s="340"/>
      <c r="W20" s="340"/>
    </row>
    <row r="21" spans="1:23" ht="11.25" customHeight="1" x14ac:dyDescent="0.25">
      <c r="A21" s="30" t="str">
        <f>'Org structure'!E17</f>
        <v>2,1 - FX001002008 - Disaster Management (Community and Social Services) - AH</v>
      </c>
      <c r="B21" s="197"/>
      <c r="C21" s="708">
        <f>'C5Q'!B20</f>
        <v>0</v>
      </c>
      <c r="D21" s="703">
        <f>'C5Q'!C20</f>
        <v>0</v>
      </c>
      <c r="E21" s="352">
        <f>'C5Q'!D20</f>
        <v>0</v>
      </c>
      <c r="F21" s="352">
        <f>'C5Q'!E20</f>
        <v>0</v>
      </c>
      <c r="G21" s="352">
        <f>'C5Q'!F20</f>
        <v>0</v>
      </c>
      <c r="H21" s="352">
        <f>'C5Q'!G20</f>
        <v>0</v>
      </c>
      <c r="I21" s="38">
        <f t="shared" si="1"/>
        <v>0</v>
      </c>
      <c r="J21" s="405" t="str">
        <f t="shared" si="3"/>
        <v/>
      </c>
      <c r="K21" s="708">
        <f>'C5Q'!J20</f>
        <v>0</v>
      </c>
      <c r="L21" s="339"/>
      <c r="M21" s="340"/>
      <c r="N21" s="340"/>
      <c r="O21" s="340"/>
      <c r="P21" s="340"/>
      <c r="Q21" s="340"/>
      <c r="R21" s="340"/>
      <c r="S21" s="340"/>
      <c r="T21" s="340"/>
      <c r="U21" s="340"/>
      <c r="V21" s="340"/>
      <c r="W21" s="340"/>
    </row>
    <row r="22" spans="1:23" ht="11.25" customHeight="1" x14ac:dyDescent="0.25">
      <c r="A22" s="30" t="str">
        <f>'Org structure'!E18</f>
        <v>2,2 - FX011001005 - Fire Fighting and Protection (Public Safety) - CK</v>
      </c>
      <c r="B22" s="197"/>
      <c r="C22" s="708">
        <f>'C5Q'!B21</f>
        <v>81175.87</v>
      </c>
      <c r="D22" s="703">
        <f>'C5Q'!C21</f>
        <v>630000</v>
      </c>
      <c r="E22" s="352">
        <f>'C5Q'!D21</f>
        <v>630000</v>
      </c>
      <c r="F22" s="352">
        <f>'C5Q'!E21</f>
        <v>0</v>
      </c>
      <c r="G22" s="352">
        <f>'C5Q'!F21</f>
        <v>0</v>
      </c>
      <c r="H22" s="352">
        <f>'C5Q'!G21</f>
        <v>300000</v>
      </c>
      <c r="I22" s="38">
        <f t="shared" si="1"/>
        <v>-300000</v>
      </c>
      <c r="J22" s="405">
        <f t="shared" si="3"/>
        <v>-1</v>
      </c>
      <c r="K22" s="708">
        <f>'C5Q'!J21</f>
        <v>630000</v>
      </c>
      <c r="L22" s="339"/>
      <c r="M22" s="340"/>
      <c r="N22" s="340"/>
      <c r="O22" s="340"/>
      <c r="P22" s="340"/>
      <c r="Q22" s="340"/>
      <c r="R22" s="340"/>
      <c r="S22" s="340"/>
      <c r="T22" s="340"/>
      <c r="U22" s="340"/>
      <c r="V22" s="340"/>
      <c r="W22" s="340"/>
    </row>
    <row r="23" spans="1:23" ht="11.25" customHeight="1" x14ac:dyDescent="0.25">
      <c r="A23" s="30" t="str">
        <f>'Org structure'!E19</f>
        <v>2,3 - FX012001005 - Taxi Ranks (Road Transport) - CP</v>
      </c>
      <c r="B23" s="197"/>
      <c r="C23" s="708">
        <f>'C5Q'!B22</f>
        <v>9374847.5600000005</v>
      </c>
      <c r="D23" s="703">
        <f>'C5Q'!C22</f>
        <v>15000000</v>
      </c>
      <c r="E23" s="352">
        <f>'C5Q'!D22</f>
        <v>15700000</v>
      </c>
      <c r="F23" s="352">
        <f>'C5Q'!E22</f>
        <v>199609</v>
      </c>
      <c r="G23" s="352">
        <f>'C5Q'!F22</f>
        <v>11801664.529999999</v>
      </c>
      <c r="H23" s="352">
        <f>'C5Q'!G22</f>
        <v>19251753.559999999</v>
      </c>
      <c r="I23" s="38">
        <f t="shared" si="1"/>
        <v>-7450089.0299999993</v>
      </c>
      <c r="J23" s="405">
        <f t="shared" si="3"/>
        <v>-0.38698236016688342</v>
      </c>
      <c r="K23" s="708">
        <f>'C5Q'!J22</f>
        <v>15700000</v>
      </c>
      <c r="L23" s="339"/>
      <c r="M23" s="340"/>
      <c r="N23" s="340"/>
      <c r="O23" s="340"/>
      <c r="P23" s="340"/>
      <c r="Q23" s="340"/>
      <c r="R23" s="340"/>
      <c r="S23" s="340"/>
      <c r="T23" s="340"/>
      <c r="U23" s="340"/>
      <c r="V23" s="340"/>
      <c r="W23" s="340"/>
    </row>
    <row r="24" spans="1:23" ht="11.25" customHeight="1" x14ac:dyDescent="0.25">
      <c r="A24" s="30" t="str">
        <f>'Org structure'!E20</f>
        <v>2,4 - FX014001003 - Solid Waste Removal (Waste Management) - DC</v>
      </c>
      <c r="B24" s="197"/>
      <c r="C24" s="708">
        <f>'C5Q'!B23</f>
        <v>1936067.74</v>
      </c>
      <c r="D24" s="703">
        <f>'C5Q'!C23</f>
        <v>15205000</v>
      </c>
      <c r="E24" s="352">
        <f>'C5Q'!D23</f>
        <v>11786000</v>
      </c>
      <c r="F24" s="352">
        <f>'C5Q'!E23</f>
        <v>0</v>
      </c>
      <c r="G24" s="352">
        <f>'C5Q'!F23</f>
        <v>0</v>
      </c>
      <c r="H24" s="352">
        <f>'C5Q'!G23</f>
        <v>9686000</v>
      </c>
      <c r="I24" s="38">
        <f t="shared" si="1"/>
        <v>-9686000</v>
      </c>
      <c r="J24" s="405">
        <f t="shared" si="3"/>
        <v>-1</v>
      </c>
      <c r="K24" s="708">
        <f>'C5Q'!J23</f>
        <v>11786000</v>
      </c>
      <c r="L24" s="339"/>
      <c r="M24" s="340"/>
      <c r="N24" s="340"/>
      <c r="O24" s="340"/>
      <c r="P24" s="340"/>
      <c r="Q24" s="340"/>
      <c r="R24" s="340"/>
      <c r="S24" s="340"/>
      <c r="T24" s="340"/>
      <c r="U24" s="340"/>
      <c r="V24" s="340"/>
      <c r="W24" s="340"/>
    </row>
    <row r="25" spans="1:23" ht="11.25" customHeight="1" x14ac:dyDescent="0.25">
      <c r="A25" s="30" t="str">
        <f>'Org structure'!E21</f>
        <v>2,5 - FX014001004 - Street Cleansing (Waste Management) - DE</v>
      </c>
      <c r="B25" s="197"/>
      <c r="C25" s="708">
        <f>'C5Q'!B24</f>
        <v>222993.96</v>
      </c>
      <c r="D25" s="703">
        <f>'C5Q'!C24</f>
        <v>0</v>
      </c>
      <c r="E25" s="352">
        <f>'C5Q'!D24</f>
        <v>0</v>
      </c>
      <c r="F25" s="352">
        <f>'C5Q'!E24</f>
        <v>0</v>
      </c>
      <c r="G25" s="352">
        <f>'C5Q'!F24</f>
        <v>0</v>
      </c>
      <c r="H25" s="352">
        <f>'C5Q'!G24</f>
        <v>0</v>
      </c>
      <c r="I25" s="38">
        <f t="shared" si="1"/>
        <v>0</v>
      </c>
      <c r="J25" s="405" t="str">
        <f t="shared" si="3"/>
        <v/>
      </c>
      <c r="K25" s="708">
        <f>'C5Q'!J24</f>
        <v>0</v>
      </c>
      <c r="L25" s="339"/>
      <c r="M25" s="340"/>
      <c r="N25" s="340"/>
      <c r="O25" s="340"/>
      <c r="P25" s="340"/>
      <c r="Q25" s="340"/>
      <c r="R25" s="340"/>
      <c r="S25" s="340"/>
      <c r="T25" s="340"/>
      <c r="U25" s="340"/>
      <c r="V25" s="340"/>
      <c r="W25" s="340"/>
    </row>
    <row r="26" spans="1:23" ht="11.25" customHeight="1" x14ac:dyDescent="0.25">
      <c r="A26" s="30" t="str">
        <f>'Org structure'!E22</f>
        <v>2,6 - FX015001001 - Public Toilets (Waste Water Management) - DF</v>
      </c>
      <c r="B26" s="197"/>
      <c r="C26" s="708">
        <f>'C5Q'!B25</f>
        <v>0</v>
      </c>
      <c r="D26" s="703">
        <f>'C5Q'!C25</f>
        <v>0</v>
      </c>
      <c r="E26" s="352">
        <f>'C5Q'!D25</f>
        <v>0</v>
      </c>
      <c r="F26" s="352">
        <f>'C5Q'!E25</f>
        <v>0</v>
      </c>
      <c r="G26" s="352">
        <f>'C5Q'!F25</f>
        <v>0</v>
      </c>
      <c r="H26" s="352">
        <f>'C5Q'!G25</f>
        <v>0</v>
      </c>
      <c r="I26" s="38">
        <f t="shared" si="1"/>
        <v>0</v>
      </c>
      <c r="J26" s="405" t="str">
        <f t="shared" si="3"/>
        <v/>
      </c>
      <c r="K26" s="708">
        <f>'C5Q'!J25</f>
        <v>0</v>
      </c>
      <c r="L26" s="339"/>
      <c r="M26" s="340"/>
      <c r="N26" s="340"/>
      <c r="O26" s="340"/>
      <c r="P26" s="340"/>
      <c r="Q26" s="340"/>
      <c r="R26" s="340"/>
      <c r="S26" s="340"/>
      <c r="T26" s="340"/>
      <c r="U26" s="340"/>
      <c r="V26" s="340"/>
      <c r="W26" s="340"/>
    </row>
    <row r="27" spans="1:23" ht="11.25" customHeight="1" x14ac:dyDescent="0.25">
      <c r="A27" s="30" t="str">
        <f>'Org structure'!E23</f>
        <v>2,7 - FX006001001 - Public Health and Emergency Services (Environmental Protection) - DY</v>
      </c>
      <c r="B27" s="197"/>
      <c r="C27" s="708">
        <f>'C5Q'!B26</f>
        <v>0</v>
      </c>
      <c r="D27" s="703">
        <f>'C5Q'!C26</f>
        <v>0</v>
      </c>
      <c r="E27" s="352">
        <f>'C5Q'!D26</f>
        <v>0</v>
      </c>
      <c r="F27" s="352">
        <f>'C5Q'!E26</f>
        <v>0</v>
      </c>
      <c r="G27" s="352">
        <f>'C5Q'!F26</f>
        <v>0</v>
      </c>
      <c r="H27" s="352">
        <f>'C5Q'!G26</f>
        <v>0</v>
      </c>
      <c r="I27" s="38">
        <f t="shared" si="1"/>
        <v>0</v>
      </c>
      <c r="J27" s="405" t="str">
        <f t="shared" si="3"/>
        <v/>
      </c>
      <c r="K27" s="708">
        <f>'C5Q'!J26</f>
        <v>0</v>
      </c>
      <c r="L27" s="339"/>
      <c r="M27" s="340"/>
      <c r="N27" s="340"/>
      <c r="O27" s="340"/>
      <c r="P27" s="340"/>
      <c r="Q27" s="340"/>
      <c r="R27" s="340"/>
      <c r="S27" s="340"/>
      <c r="T27" s="340"/>
      <c r="U27" s="340"/>
      <c r="V27" s="340"/>
      <c r="W27" s="340"/>
    </row>
    <row r="28" spans="1:23" ht="11.25" customHeight="1" x14ac:dyDescent="0.25">
      <c r="A28" s="66" t="str">
        <f>'Org structure'!A4</f>
        <v>Vote 3 - COMMUNITY SERVICES - PROTECTION SERVICES</v>
      </c>
      <c r="B28" s="132"/>
      <c r="C28" s="707">
        <f t="shared" ref="C28:H28" si="5">SUM(C29:C32)</f>
        <v>0</v>
      </c>
      <c r="D28" s="723">
        <f t="shared" si="5"/>
        <v>25000</v>
      </c>
      <c r="E28" s="349">
        <f t="shared" si="5"/>
        <v>12500</v>
      </c>
      <c r="F28" s="350">
        <f t="shared" si="5"/>
        <v>0</v>
      </c>
      <c r="G28" s="349">
        <f t="shared" si="5"/>
        <v>0</v>
      </c>
      <c r="H28" s="350">
        <f t="shared" si="5"/>
        <v>12500</v>
      </c>
      <c r="I28" s="38">
        <f t="shared" si="1"/>
        <v>-12500</v>
      </c>
      <c r="J28" s="405">
        <f t="shared" si="3"/>
        <v>-1</v>
      </c>
      <c r="K28" s="707">
        <f>SUM(K29:K32)</f>
        <v>12500</v>
      </c>
      <c r="L28" s="339"/>
      <c r="M28" s="340"/>
      <c r="N28" s="340"/>
      <c r="O28" s="340"/>
      <c r="P28" s="340"/>
      <c r="Q28" s="340"/>
      <c r="R28" s="340"/>
      <c r="S28" s="340"/>
      <c r="T28" s="340"/>
      <c r="U28" s="340"/>
      <c r="V28" s="340"/>
      <c r="W28" s="340"/>
    </row>
    <row r="29" spans="1:23" ht="11.25" customHeight="1" x14ac:dyDescent="0.25">
      <c r="A29" s="30" t="str">
        <f>'Org structure'!E28</f>
        <v>3,1 - FX005001012 - Security Services (Finance and Administration) - BP</v>
      </c>
      <c r="B29" s="197"/>
      <c r="C29" s="708">
        <f>'C5Q'!B28</f>
        <v>0</v>
      </c>
      <c r="D29" s="703">
        <f>'C5Q'!C28</f>
        <v>0</v>
      </c>
      <c r="E29" s="352">
        <f>'C5Q'!D28</f>
        <v>0</v>
      </c>
      <c r="F29" s="352">
        <f>'C5Q'!E28</f>
        <v>0</v>
      </c>
      <c r="G29" s="352">
        <f>'C5Q'!F28</f>
        <v>0</v>
      </c>
      <c r="H29" s="352">
        <f>'C5Q'!G28</f>
        <v>0</v>
      </c>
      <c r="I29" s="38">
        <f t="shared" si="1"/>
        <v>0</v>
      </c>
      <c r="J29" s="405" t="str">
        <f t="shared" si="3"/>
        <v/>
      </c>
      <c r="K29" s="708">
        <f>'C5Q'!J28</f>
        <v>0</v>
      </c>
      <c r="L29" s="339"/>
      <c r="M29" s="340"/>
      <c r="N29" s="340"/>
      <c r="O29" s="340"/>
      <c r="P29" s="340"/>
      <c r="Q29" s="340"/>
      <c r="R29" s="340"/>
      <c r="S29" s="340"/>
      <c r="T29" s="340"/>
      <c r="U29" s="340"/>
      <c r="V29" s="340"/>
      <c r="W29" s="340"/>
    </row>
    <row r="30" spans="1:23" ht="11.25" customHeight="1" x14ac:dyDescent="0.25">
      <c r="A30" s="30" t="str">
        <f>'Org structure'!E29</f>
        <v>3,2 - FX011001007 - Police Forces, Traffic and Street Parking Control (Road Transport) - CQ</v>
      </c>
      <c r="B30" s="197"/>
      <c r="C30" s="708">
        <f>'C5Q'!B29</f>
        <v>0</v>
      </c>
      <c r="D30" s="703">
        <f>'C5Q'!C29</f>
        <v>0</v>
      </c>
      <c r="E30" s="352">
        <f>'C5Q'!D29</f>
        <v>0</v>
      </c>
      <c r="F30" s="352">
        <f>'C5Q'!E29</f>
        <v>0</v>
      </c>
      <c r="G30" s="352">
        <f>'C5Q'!F29</f>
        <v>0</v>
      </c>
      <c r="H30" s="352">
        <f>'C5Q'!G29</f>
        <v>0</v>
      </c>
      <c r="I30" s="38">
        <f t="shared" si="1"/>
        <v>0</v>
      </c>
      <c r="J30" s="405" t="str">
        <f t="shared" si="3"/>
        <v/>
      </c>
      <c r="K30" s="708">
        <f>'C5Q'!J29</f>
        <v>0</v>
      </c>
      <c r="L30" s="339"/>
      <c r="M30" s="340"/>
      <c r="N30" s="340"/>
      <c r="O30" s="340"/>
      <c r="P30" s="340"/>
      <c r="Q30" s="340"/>
      <c r="R30" s="340"/>
      <c r="S30" s="340"/>
      <c r="T30" s="340"/>
      <c r="U30" s="340"/>
      <c r="V30" s="340"/>
      <c r="W30" s="340"/>
    </row>
    <row r="31" spans="1:23" ht="11.25" customHeight="1" x14ac:dyDescent="0.25">
      <c r="A31" s="30" t="str">
        <f>'Org structure'!E30</f>
        <v>3,3 - FX012002001 - Road and Traffic Regulation (Road Transport) - CR</v>
      </c>
      <c r="B31" s="197"/>
      <c r="C31" s="708">
        <f>'C5Q'!B30</f>
        <v>0</v>
      </c>
      <c r="D31" s="703">
        <f>'C5Q'!C30</f>
        <v>25000</v>
      </c>
      <c r="E31" s="352">
        <f>'C5Q'!D30</f>
        <v>12500</v>
      </c>
      <c r="F31" s="352">
        <f>'C5Q'!E30</f>
        <v>0</v>
      </c>
      <c r="G31" s="352">
        <f>'C5Q'!F30</f>
        <v>0</v>
      </c>
      <c r="H31" s="352">
        <f>'C5Q'!G30</f>
        <v>12500</v>
      </c>
      <c r="I31" s="38">
        <f t="shared" si="1"/>
        <v>-12500</v>
      </c>
      <c r="J31" s="405">
        <f t="shared" si="3"/>
        <v>-1</v>
      </c>
      <c r="K31" s="708">
        <f>'C5Q'!J30</f>
        <v>12500</v>
      </c>
      <c r="L31" s="339"/>
      <c r="M31" s="340"/>
      <c r="N31" s="340"/>
      <c r="O31" s="340"/>
      <c r="P31" s="340"/>
      <c r="Q31" s="340"/>
      <c r="R31" s="340"/>
      <c r="S31" s="340"/>
      <c r="T31" s="340"/>
      <c r="U31" s="340"/>
      <c r="V31" s="340"/>
      <c r="W31" s="340"/>
    </row>
    <row r="32" spans="1:23" ht="11.25" customHeight="1" x14ac:dyDescent="0.25">
      <c r="A32" s="30" t="str">
        <f>'Org structure'!E31</f>
        <v>3,4 - FX011001006 - Public Safety Licensing and Control of Animals - CU</v>
      </c>
      <c r="B32" s="197"/>
      <c r="C32" s="708">
        <f>'C5Q'!B31</f>
        <v>0</v>
      </c>
      <c r="D32" s="703">
        <f>'C5Q'!C31</f>
        <v>0</v>
      </c>
      <c r="E32" s="352">
        <f>'C5Q'!D31</f>
        <v>0</v>
      </c>
      <c r="F32" s="352">
        <f>'C5Q'!E31</f>
        <v>0</v>
      </c>
      <c r="G32" s="352">
        <f>'C5Q'!F31</f>
        <v>0</v>
      </c>
      <c r="H32" s="352">
        <f>'C5Q'!G31</f>
        <v>0</v>
      </c>
      <c r="I32" s="38">
        <f t="shared" si="1"/>
        <v>0</v>
      </c>
      <c r="J32" s="405" t="str">
        <f t="shared" si="3"/>
        <v/>
      </c>
      <c r="K32" s="708">
        <f>'C5Q'!J31</f>
        <v>0</v>
      </c>
      <c r="L32" s="339"/>
      <c r="M32" s="340"/>
      <c r="N32" s="340"/>
      <c r="O32" s="340"/>
      <c r="P32" s="340"/>
      <c r="Q32" s="340"/>
      <c r="R32" s="340"/>
      <c r="S32" s="340"/>
      <c r="T32" s="340"/>
      <c r="U32" s="340"/>
      <c r="V32" s="340"/>
      <c r="W32" s="340"/>
    </row>
    <row r="33" spans="1:23" ht="11.25" customHeight="1" x14ac:dyDescent="0.25">
      <c r="A33" s="66" t="str">
        <f>'Org structure'!A5</f>
        <v>Vote 4 - COMMUNITY SERVICES - RECREATIONAL AND ENVIRONMENTAL SERVICES</v>
      </c>
      <c r="B33" s="132"/>
      <c r="C33" s="707">
        <f>SUM(C34:C46)</f>
        <v>68337840.280000001</v>
      </c>
      <c r="D33" s="350">
        <f t="shared" ref="D33:K33" si="6">SUM(D34:D46)</f>
        <v>23607000</v>
      </c>
      <c r="E33" s="348">
        <f t="shared" si="6"/>
        <v>35108500</v>
      </c>
      <c r="F33" s="348">
        <f t="shared" si="6"/>
        <v>16197513.48</v>
      </c>
      <c r="G33" s="348">
        <f t="shared" si="6"/>
        <v>39345387.890000001</v>
      </c>
      <c r="H33" s="348">
        <f t="shared" si="6"/>
        <v>25084879.27</v>
      </c>
      <c r="I33" s="38">
        <f t="shared" si="1"/>
        <v>14260508.620000001</v>
      </c>
      <c r="J33" s="405">
        <f t="shared" si="3"/>
        <v>0.56849022339344912</v>
      </c>
      <c r="K33" s="707">
        <f t="shared" si="6"/>
        <v>35108500</v>
      </c>
      <c r="L33" s="339"/>
      <c r="M33" s="340"/>
      <c r="N33" s="340"/>
      <c r="O33" s="340"/>
      <c r="P33" s="340"/>
      <c r="Q33" s="340"/>
      <c r="R33" s="340"/>
      <c r="S33" s="340"/>
      <c r="T33" s="340"/>
      <c r="U33" s="340"/>
      <c r="V33" s="340"/>
      <c r="W33" s="340"/>
    </row>
    <row r="34" spans="1:23" ht="11.25" customHeight="1" x14ac:dyDescent="0.25">
      <c r="A34" s="30" t="str">
        <f>'Org structure'!E39</f>
        <v>4,1 - FX001001003 - Cemeteries, Funeral Parlours and Crematoriums (Community and Social Services) - AA</v>
      </c>
      <c r="B34" s="197"/>
      <c r="C34" s="708">
        <f>'C5Q'!B33</f>
        <v>0</v>
      </c>
      <c r="D34" s="703">
        <f>'C5Q'!C33</f>
        <v>400000</v>
      </c>
      <c r="E34" s="352">
        <f>'C5Q'!D33</f>
        <v>400000</v>
      </c>
      <c r="F34" s="352">
        <f>'C5Q'!E33</f>
        <v>0</v>
      </c>
      <c r="G34" s="352">
        <f>'C5Q'!F33</f>
        <v>0</v>
      </c>
      <c r="H34" s="352">
        <f>'C5Q'!G33</f>
        <v>200000</v>
      </c>
      <c r="I34" s="38">
        <f t="shared" si="1"/>
        <v>-200000</v>
      </c>
      <c r="J34" s="405">
        <f t="shared" si="3"/>
        <v>-1</v>
      </c>
      <c r="K34" s="708">
        <f>'C5Q'!J33</f>
        <v>400000</v>
      </c>
      <c r="L34" s="339"/>
      <c r="M34" s="340"/>
      <c r="N34" s="340"/>
      <c r="O34" s="340"/>
      <c r="P34" s="340"/>
      <c r="Q34" s="340"/>
      <c r="R34" s="340"/>
      <c r="S34" s="340"/>
      <c r="T34" s="340"/>
      <c r="U34" s="340"/>
      <c r="V34" s="340"/>
      <c r="W34" s="340"/>
    </row>
    <row r="35" spans="1:23" ht="11.25" customHeight="1" x14ac:dyDescent="0.25">
      <c r="A35" s="30" t="str">
        <f>'Org structure'!E40</f>
        <v>4,2 - FX001001005002 - Halls (Community and Social Services) - AC</v>
      </c>
      <c r="B35" s="197"/>
      <c r="C35" s="708">
        <f>'C5Q'!B34</f>
        <v>4743198.51</v>
      </c>
      <c r="D35" s="703">
        <f>'C5Q'!C34</f>
        <v>4201000</v>
      </c>
      <c r="E35" s="352">
        <f>'C5Q'!D34</f>
        <v>4201000</v>
      </c>
      <c r="F35" s="352">
        <f>'C5Q'!E34</f>
        <v>0</v>
      </c>
      <c r="G35" s="352">
        <f>'C5Q'!F34</f>
        <v>0</v>
      </c>
      <c r="H35" s="352">
        <f>'C5Q'!G34</f>
        <v>2150000</v>
      </c>
      <c r="I35" s="38">
        <f t="shared" si="1"/>
        <v>-2150000</v>
      </c>
      <c r="J35" s="405">
        <f t="shared" si="3"/>
        <v>-1</v>
      </c>
      <c r="K35" s="708">
        <f>'C5Q'!J34</f>
        <v>4201000</v>
      </c>
      <c r="L35" s="339"/>
      <c r="M35" s="340"/>
      <c r="N35" s="340"/>
      <c r="O35" s="340"/>
      <c r="P35" s="340"/>
      <c r="Q35" s="340"/>
      <c r="R35" s="340"/>
      <c r="S35" s="340"/>
      <c r="T35" s="340"/>
      <c r="U35" s="340"/>
      <c r="V35" s="340"/>
      <c r="W35" s="340"/>
    </row>
    <row r="36" spans="1:23" ht="11.25" customHeight="1" x14ac:dyDescent="0.25">
      <c r="A36" s="30" t="str">
        <f>'Org structure'!E41</f>
        <v>4,3 - FX001001006001 - Libraries and Archives (Community and Social Services) - AE</v>
      </c>
      <c r="B36" s="197"/>
      <c r="C36" s="708">
        <f>'C5Q'!B35</f>
        <v>0</v>
      </c>
      <c r="D36" s="703">
        <f>'C5Q'!C35</f>
        <v>0</v>
      </c>
      <c r="E36" s="352">
        <f>'C5Q'!D35</f>
        <v>0</v>
      </c>
      <c r="F36" s="352">
        <f>'C5Q'!E35</f>
        <v>0</v>
      </c>
      <c r="G36" s="352">
        <f>'C5Q'!F35</f>
        <v>120450</v>
      </c>
      <c r="H36" s="352">
        <f>'C5Q'!G35</f>
        <v>0</v>
      </c>
      <c r="I36" s="38">
        <f t="shared" si="1"/>
        <v>120450</v>
      </c>
      <c r="J36" s="405" t="str">
        <f t="shared" si="3"/>
        <v/>
      </c>
      <c r="K36" s="708">
        <f>'C5Q'!J35</f>
        <v>0</v>
      </c>
      <c r="L36" s="339"/>
      <c r="M36" s="340"/>
      <c r="N36" s="340"/>
      <c r="O36" s="340"/>
      <c r="P36" s="340"/>
      <c r="Q36" s="340"/>
      <c r="R36" s="340"/>
      <c r="S36" s="340"/>
      <c r="T36" s="340"/>
      <c r="U36" s="340"/>
      <c r="V36" s="340"/>
      <c r="W36" s="340"/>
    </row>
    <row r="37" spans="1:23" ht="11.25" customHeight="1" x14ac:dyDescent="0.25">
      <c r="A37" s="30" t="str">
        <f>'Org structure'!E42</f>
        <v>4,4 - FX001001006002 - Cyber Cadets (Community and Social Services) - AF</v>
      </c>
      <c r="B37" s="197"/>
      <c r="C37" s="708">
        <f>'C5Q'!B36</f>
        <v>0</v>
      </c>
      <c r="D37" s="703">
        <f>'C5Q'!C36</f>
        <v>0</v>
      </c>
      <c r="E37" s="352">
        <f>'C5Q'!D36</f>
        <v>0</v>
      </c>
      <c r="F37" s="352">
        <f>'C5Q'!E36</f>
        <v>0</v>
      </c>
      <c r="G37" s="352">
        <f>'C5Q'!F36</f>
        <v>0</v>
      </c>
      <c r="H37" s="352">
        <f>'C5Q'!G36</f>
        <v>0</v>
      </c>
      <c r="I37" s="38">
        <f t="shared" si="1"/>
        <v>0</v>
      </c>
      <c r="J37" s="405" t="str">
        <f t="shared" si="3"/>
        <v/>
      </c>
      <c r="K37" s="708">
        <f>'C5Q'!J36</f>
        <v>0</v>
      </c>
      <c r="L37" s="339"/>
      <c r="M37" s="340"/>
      <c r="N37" s="340"/>
      <c r="O37" s="340"/>
      <c r="P37" s="340"/>
      <c r="Q37" s="340"/>
      <c r="R37" s="340"/>
      <c r="S37" s="340"/>
      <c r="T37" s="340"/>
      <c r="U37" s="340"/>
      <c r="V37" s="340"/>
      <c r="W37" s="340"/>
    </row>
    <row r="38" spans="1:23" ht="11.25" customHeight="1" x14ac:dyDescent="0.25">
      <c r="A38" s="30" t="str">
        <f>'Org structure'!E43</f>
        <v>4,5 - FX001001008 - Museums and Art Galleries (Community and Social Services) - AG</v>
      </c>
      <c r="B38" s="197"/>
      <c r="C38" s="708">
        <f>'C5Q'!B37</f>
        <v>0</v>
      </c>
      <c r="D38" s="703">
        <f>'C5Q'!C37</f>
        <v>0</v>
      </c>
      <c r="E38" s="352">
        <f>'C5Q'!D37</f>
        <v>0</v>
      </c>
      <c r="F38" s="352">
        <f>'C5Q'!E37</f>
        <v>0</v>
      </c>
      <c r="G38" s="352">
        <f>'C5Q'!F37</f>
        <v>0</v>
      </c>
      <c r="H38" s="352">
        <f>'C5Q'!G37</f>
        <v>0</v>
      </c>
      <c r="I38" s="38">
        <f t="shared" si="1"/>
        <v>0</v>
      </c>
      <c r="J38" s="405" t="str">
        <f t="shared" si="3"/>
        <v/>
      </c>
      <c r="K38" s="708">
        <f>'C5Q'!J37</f>
        <v>0</v>
      </c>
      <c r="L38" s="339"/>
      <c r="M38" s="340"/>
      <c r="N38" s="340"/>
      <c r="O38" s="340"/>
      <c r="P38" s="340"/>
      <c r="Q38" s="340"/>
      <c r="R38" s="340"/>
      <c r="S38" s="340"/>
      <c r="T38" s="340"/>
      <c r="U38" s="340"/>
      <c r="V38" s="340"/>
      <c r="W38" s="340"/>
    </row>
    <row r="39" spans="1:23" ht="11.25" customHeight="1" x14ac:dyDescent="0.25">
      <c r="A39" s="30" t="str">
        <f>'Org structure'!E44</f>
        <v>4,6 - FX001002007 - Cultural Matters (Community and Social Services) - CV</v>
      </c>
      <c r="B39" s="197"/>
      <c r="C39" s="708">
        <f>'C5Q'!B38</f>
        <v>0</v>
      </c>
      <c r="D39" s="703">
        <f>'C5Q'!C38</f>
        <v>0</v>
      </c>
      <c r="E39" s="352">
        <f>'C5Q'!D38</f>
        <v>0</v>
      </c>
      <c r="F39" s="352">
        <f>'C5Q'!E38</f>
        <v>0</v>
      </c>
      <c r="G39" s="352">
        <f>'C5Q'!F38</f>
        <v>0</v>
      </c>
      <c r="H39" s="352">
        <f>'C5Q'!G38</f>
        <v>0</v>
      </c>
      <c r="I39" s="38">
        <f t="shared" si="1"/>
        <v>0</v>
      </c>
      <c r="J39" s="405" t="str">
        <f t="shared" si="3"/>
        <v/>
      </c>
      <c r="K39" s="708">
        <f>'C5Q'!J38</f>
        <v>0</v>
      </c>
      <c r="L39" s="339"/>
      <c r="M39" s="340"/>
      <c r="N39" s="340"/>
      <c r="O39" s="340"/>
      <c r="P39" s="340"/>
      <c r="Q39" s="340"/>
      <c r="R39" s="340"/>
      <c r="S39" s="340"/>
      <c r="T39" s="340"/>
      <c r="U39" s="340"/>
      <c r="V39" s="340"/>
      <c r="W39" s="340"/>
    </row>
    <row r="40" spans="1:23" ht="11.25" customHeight="1" x14ac:dyDescent="0.25">
      <c r="A40" s="30" t="str">
        <f>'Org structure'!E45</f>
        <v>4,7 - FX013001001 - Beaches and Jetties (Community and Social Services) - CS</v>
      </c>
      <c r="B40" s="197"/>
      <c r="C40" s="708">
        <f>'C5Q'!B39</f>
        <v>0</v>
      </c>
      <c r="D40" s="703">
        <f>'C5Q'!C39</f>
        <v>178000</v>
      </c>
      <c r="E40" s="352">
        <f>'C5Q'!D39</f>
        <v>169500</v>
      </c>
      <c r="F40" s="352">
        <f>'C5Q'!E39</f>
        <v>0</v>
      </c>
      <c r="G40" s="352">
        <f>'C5Q'!F39</f>
        <v>0</v>
      </c>
      <c r="H40" s="352">
        <f>'C5Q'!G39</f>
        <v>50000</v>
      </c>
      <c r="I40" s="38">
        <f t="shared" si="1"/>
        <v>-50000</v>
      </c>
      <c r="J40" s="405">
        <f t="shared" si="3"/>
        <v>-1</v>
      </c>
      <c r="K40" s="708">
        <f>'C5Q'!J39</f>
        <v>169500</v>
      </c>
      <c r="L40" s="339"/>
      <c r="M40" s="340"/>
      <c r="N40" s="340"/>
      <c r="O40" s="340"/>
      <c r="P40" s="340"/>
      <c r="Q40" s="340"/>
      <c r="R40" s="340"/>
      <c r="S40" s="340"/>
      <c r="T40" s="340"/>
      <c r="U40" s="340"/>
      <c r="V40" s="340"/>
      <c r="W40" s="340"/>
    </row>
    <row r="41" spans="1:23" ht="11.25" customHeight="1" x14ac:dyDescent="0.25">
      <c r="A41" s="30" t="str">
        <f>'Org structure'!E46</f>
        <v>4,8 - FX013001002 - Community Parks (including Nurseries) (Sport and Recreation) - CT</v>
      </c>
      <c r="B41" s="197"/>
      <c r="C41" s="708">
        <f>'C5Q'!B40</f>
        <v>0</v>
      </c>
      <c r="D41" s="703">
        <f>'C5Q'!C40</f>
        <v>1000000</v>
      </c>
      <c r="E41" s="352">
        <f>'C5Q'!D40</f>
        <v>1000000</v>
      </c>
      <c r="F41" s="352">
        <f>'C5Q'!E40</f>
        <v>0</v>
      </c>
      <c r="G41" s="352">
        <f>'C5Q'!F40</f>
        <v>0</v>
      </c>
      <c r="H41" s="352">
        <f>'C5Q'!G40</f>
        <v>0</v>
      </c>
      <c r="I41" s="38">
        <f t="shared" si="1"/>
        <v>0</v>
      </c>
      <c r="J41" s="405" t="str">
        <f t="shared" si="3"/>
        <v/>
      </c>
      <c r="K41" s="708">
        <f>'C5Q'!J40</f>
        <v>1000000</v>
      </c>
      <c r="L41" s="339"/>
      <c r="M41" s="340"/>
      <c r="N41" s="340"/>
      <c r="O41" s="340"/>
      <c r="P41" s="340"/>
      <c r="Q41" s="340"/>
      <c r="R41" s="340"/>
      <c r="S41" s="340"/>
      <c r="T41" s="340"/>
      <c r="U41" s="340"/>
      <c r="V41" s="340"/>
      <c r="W41" s="340"/>
    </row>
    <row r="42" spans="1:23" ht="11.25" customHeight="1" x14ac:dyDescent="0.25">
      <c r="A42" s="30" t="str">
        <f>'Org structure'!E47</f>
        <v>4,9 - FX013002003001 - Recreational Facilities - Caravan Park (Sport and Recreation) - CW</v>
      </c>
      <c r="B42" s="197"/>
      <c r="C42" s="708">
        <f>'C5Q'!B41</f>
        <v>0</v>
      </c>
      <c r="D42" s="703">
        <f>'C5Q'!C41</f>
        <v>0</v>
      </c>
      <c r="E42" s="352">
        <f>'C5Q'!D41</f>
        <v>0</v>
      </c>
      <c r="F42" s="352">
        <f>'C5Q'!E41</f>
        <v>0</v>
      </c>
      <c r="G42" s="352">
        <f>'C5Q'!F41</f>
        <v>0</v>
      </c>
      <c r="H42" s="352">
        <f>'C5Q'!G41</f>
        <v>0</v>
      </c>
      <c r="I42" s="38">
        <f t="shared" si="1"/>
        <v>0</v>
      </c>
      <c r="J42" s="405" t="str">
        <f t="shared" si="3"/>
        <v/>
      </c>
      <c r="K42" s="708">
        <f>'C5Q'!J41</f>
        <v>0</v>
      </c>
      <c r="L42" s="339"/>
      <c r="M42" s="340"/>
      <c r="N42" s="340"/>
      <c r="O42" s="340"/>
      <c r="P42" s="340"/>
      <c r="Q42" s="340"/>
      <c r="R42" s="340"/>
      <c r="S42" s="340"/>
      <c r="T42" s="340"/>
      <c r="U42" s="340"/>
      <c r="V42" s="340"/>
      <c r="W42" s="340"/>
    </row>
    <row r="43" spans="1:23" ht="11.25" customHeight="1" x14ac:dyDescent="0.25">
      <c r="A43" s="30" t="str">
        <f>'Org structure'!E48</f>
        <v>4.10 - FX013002003002 - Recreational Facilities - Parks Administration (Sport and Recreation) - CX</v>
      </c>
      <c r="B43" s="197"/>
      <c r="C43" s="708">
        <f>'C5Q'!B42</f>
        <v>0</v>
      </c>
      <c r="D43" s="703">
        <f>'C5Q'!C42</f>
        <v>0</v>
      </c>
      <c r="E43" s="352">
        <f>'C5Q'!D42</f>
        <v>0</v>
      </c>
      <c r="F43" s="352">
        <f>'C5Q'!E42</f>
        <v>0</v>
      </c>
      <c r="G43" s="352">
        <f>'C5Q'!F42</f>
        <v>0</v>
      </c>
      <c r="H43" s="352">
        <f>'C5Q'!G42</f>
        <v>0</v>
      </c>
      <c r="I43" s="38">
        <f t="shared" si="1"/>
        <v>0</v>
      </c>
      <c r="J43" s="405" t="str">
        <f t="shared" si="3"/>
        <v/>
      </c>
      <c r="K43" s="708">
        <f>'C5Q'!J42</f>
        <v>0</v>
      </c>
      <c r="L43" s="339"/>
      <c r="M43" s="340"/>
      <c r="N43" s="340"/>
      <c r="O43" s="340"/>
      <c r="P43" s="340"/>
      <c r="Q43" s="340"/>
      <c r="R43" s="340"/>
      <c r="S43" s="340"/>
      <c r="T43" s="340"/>
      <c r="U43" s="340"/>
      <c r="V43" s="340"/>
      <c r="W43" s="340"/>
    </row>
    <row r="44" spans="1:23" ht="11.25" customHeight="1" x14ac:dyDescent="0.25">
      <c r="A44" s="30" t="str">
        <f>'Org structure'!E49</f>
        <v>4.11 - FX013002003003 - Recreational Facilities - Swimming Pools (Sport and Recreation) - CY</v>
      </c>
      <c r="B44" s="197"/>
      <c r="C44" s="708">
        <f>'C5Q'!B43</f>
        <v>11030614.57</v>
      </c>
      <c r="D44" s="703">
        <f>'C5Q'!C43</f>
        <v>3200000</v>
      </c>
      <c r="E44" s="352">
        <f>'C5Q'!D43</f>
        <v>2910000</v>
      </c>
      <c r="F44" s="352">
        <f>'C5Q'!E43</f>
        <v>0</v>
      </c>
      <c r="G44" s="352">
        <f>'C5Q'!F43</f>
        <v>856879.27</v>
      </c>
      <c r="H44" s="352">
        <f>'C5Q'!G43</f>
        <v>2256879.27</v>
      </c>
      <c r="I44" s="38">
        <f t="shared" si="1"/>
        <v>-1400000</v>
      </c>
      <c r="J44" s="405">
        <f t="shared" si="3"/>
        <v>-0.62032560563153205</v>
      </c>
      <c r="K44" s="708">
        <f>'C5Q'!J43</f>
        <v>2910000</v>
      </c>
      <c r="L44" s="339"/>
      <c r="M44" s="340"/>
      <c r="N44" s="340"/>
      <c r="O44" s="340"/>
      <c r="P44" s="340"/>
      <c r="Q44" s="340"/>
      <c r="R44" s="340"/>
      <c r="S44" s="340"/>
      <c r="T44" s="340"/>
      <c r="U44" s="340"/>
      <c r="V44" s="340"/>
      <c r="W44" s="340"/>
    </row>
    <row r="45" spans="1:23" ht="11.25" customHeight="1" x14ac:dyDescent="0.25">
      <c r="A45" s="30" t="str">
        <f>'Org structure'!E50</f>
        <v>4.12 - FX013002004001 - Sport Development and Sportfields (Sport and Recreation) - CZ</v>
      </c>
      <c r="B45" s="197"/>
      <c r="C45" s="708">
        <f>'C5Q'!B44</f>
        <v>12307360.66</v>
      </c>
      <c r="D45" s="703">
        <f>'C5Q'!C44</f>
        <v>2000000</v>
      </c>
      <c r="E45" s="352">
        <f>'C5Q'!D44</f>
        <v>2000000</v>
      </c>
      <c r="F45" s="352">
        <f>'C5Q'!E44</f>
        <v>0</v>
      </c>
      <c r="G45" s="352">
        <f>'C5Q'!F44</f>
        <v>0</v>
      </c>
      <c r="H45" s="352">
        <f>'C5Q'!G44</f>
        <v>1000000</v>
      </c>
      <c r="I45" s="38">
        <f t="shared" si="1"/>
        <v>-1000000</v>
      </c>
      <c r="J45" s="405">
        <f t="shared" si="3"/>
        <v>-1</v>
      </c>
      <c r="K45" s="708">
        <f>'C5Q'!J44</f>
        <v>2000000</v>
      </c>
      <c r="L45" s="339"/>
      <c r="M45" s="340"/>
      <c r="N45" s="340"/>
      <c r="O45" s="340"/>
      <c r="P45" s="340"/>
      <c r="Q45" s="340"/>
      <c r="R45" s="340"/>
      <c r="S45" s="340"/>
      <c r="T45" s="340"/>
      <c r="U45" s="340"/>
      <c r="V45" s="340"/>
      <c r="W45" s="340"/>
    </row>
    <row r="46" spans="1:23" ht="11.25" customHeight="1" x14ac:dyDescent="0.25">
      <c r="A46" s="30" t="str">
        <f>'Org structure'!E51</f>
        <v>4.13 - FX013002004002 - Sports Grounds and Stadiums -Stadiums (Sport and Recreation) - DB</v>
      </c>
      <c r="B46" s="197"/>
      <c r="C46" s="708">
        <f>'C5Q'!B45</f>
        <v>40256666.539999999</v>
      </c>
      <c r="D46" s="703">
        <f>'C5Q'!C45</f>
        <v>12628000</v>
      </c>
      <c r="E46" s="352">
        <f>'C5Q'!D45</f>
        <v>24428000</v>
      </c>
      <c r="F46" s="352">
        <f>'C5Q'!E45</f>
        <v>16197513.48</v>
      </c>
      <c r="G46" s="352">
        <f>'C5Q'!F45</f>
        <v>38368058.619999997</v>
      </c>
      <c r="H46" s="352">
        <f>'C5Q'!G45</f>
        <v>19428000</v>
      </c>
      <c r="I46" s="38">
        <f t="shared" si="1"/>
        <v>18940058.619999997</v>
      </c>
      <c r="J46" s="405">
        <f t="shared" si="3"/>
        <v>0.97488463145974869</v>
      </c>
      <c r="K46" s="708">
        <f>'C5Q'!J45</f>
        <v>24428000</v>
      </c>
      <c r="L46" s="339"/>
      <c r="M46" s="340"/>
      <c r="N46" s="340"/>
      <c r="O46" s="340"/>
      <c r="P46" s="340"/>
      <c r="Q46" s="340"/>
      <c r="R46" s="340"/>
      <c r="S46" s="340"/>
      <c r="T46" s="340"/>
      <c r="U46" s="340"/>
      <c r="V46" s="340"/>
      <c r="W46" s="340"/>
    </row>
    <row r="47" spans="1:23" ht="11.25" customHeight="1" x14ac:dyDescent="0.25">
      <c r="A47" s="66" t="str">
        <f>'Org structure'!A6</f>
        <v>Vote 5 - CORPORATE SERVICES - ADMINISTRATION</v>
      </c>
      <c r="B47" s="132"/>
      <c r="C47" s="707">
        <f t="shared" ref="C47:H47" si="7">SUM(C48:C50)</f>
        <v>59200092.930000007</v>
      </c>
      <c r="D47" s="723">
        <f t="shared" si="7"/>
        <v>8599000</v>
      </c>
      <c r="E47" s="349">
        <f t="shared" si="7"/>
        <v>8785400</v>
      </c>
      <c r="F47" s="350">
        <f t="shared" si="7"/>
        <v>15648</v>
      </c>
      <c r="G47" s="349">
        <f t="shared" si="7"/>
        <v>627426.54</v>
      </c>
      <c r="H47" s="350">
        <f t="shared" si="7"/>
        <v>6141882.54</v>
      </c>
      <c r="I47" s="38">
        <f t="shared" si="1"/>
        <v>-5514456</v>
      </c>
      <c r="J47" s="405">
        <f t="shared" si="3"/>
        <v>-0.89784458821643309</v>
      </c>
      <c r="K47" s="707">
        <f>SUM(K48:K50)</f>
        <v>8785400</v>
      </c>
      <c r="L47" s="339"/>
      <c r="M47" s="340"/>
      <c r="N47" s="340"/>
      <c r="O47" s="340"/>
      <c r="P47" s="340"/>
      <c r="Q47" s="340"/>
      <c r="R47" s="340"/>
      <c r="S47" s="340"/>
      <c r="T47" s="340"/>
      <c r="U47" s="340"/>
      <c r="V47" s="340"/>
      <c r="W47" s="340"/>
    </row>
    <row r="48" spans="1:23" ht="11.25" customHeight="1" x14ac:dyDescent="0.25">
      <c r="A48" s="30" t="str">
        <f>'Org structure'!E53</f>
        <v>5.1 - FX001001005003 - Municipal Buildings (Community and Social Services) - AD</v>
      </c>
      <c r="B48" s="197"/>
      <c r="C48" s="708">
        <f>'C5Q'!B47</f>
        <v>46387332.840000004</v>
      </c>
      <c r="D48" s="703">
        <f>'C5Q'!C47</f>
        <v>4600000</v>
      </c>
      <c r="E48" s="352">
        <f>'C5Q'!D47</f>
        <v>4786400</v>
      </c>
      <c r="F48" s="352">
        <f>'C5Q'!E47</f>
        <v>15648</v>
      </c>
      <c r="G48" s="352">
        <f>'C5Q'!F47</f>
        <v>283456.53999999998</v>
      </c>
      <c r="H48" s="352">
        <f>'C5Q'!G47</f>
        <v>4642882.54</v>
      </c>
      <c r="I48" s="38">
        <f t="shared" ref="I48:I92" si="8">G48-H48</f>
        <v>-4359426</v>
      </c>
      <c r="J48" s="405">
        <f t="shared" si="3"/>
        <v>-0.93894815611682481</v>
      </c>
      <c r="K48" s="708">
        <f>'C5Q'!J47</f>
        <v>4786400</v>
      </c>
      <c r="L48" s="339"/>
      <c r="M48" s="340"/>
      <c r="N48" s="340"/>
      <c r="O48" s="340"/>
      <c r="P48" s="340"/>
      <c r="Q48" s="340"/>
      <c r="R48" s="340"/>
      <c r="S48" s="340"/>
      <c r="T48" s="340"/>
      <c r="U48" s="340"/>
      <c r="V48" s="340"/>
      <c r="W48" s="340"/>
    </row>
    <row r="49" spans="1:23" ht="11.25" customHeight="1" x14ac:dyDescent="0.25">
      <c r="A49" s="30" t="str">
        <f>'Org structure'!E54</f>
        <v>5.2 - FX005001001 - Administrative and Corporate Support (Finance and Administration) - BB</v>
      </c>
      <c r="B49" s="197"/>
      <c r="C49" s="708">
        <f>'C5Q'!B48</f>
        <v>0</v>
      </c>
      <c r="D49" s="703">
        <f>'C5Q'!C48</f>
        <v>0</v>
      </c>
      <c r="E49" s="352">
        <f>'C5Q'!D48</f>
        <v>0</v>
      </c>
      <c r="F49" s="352">
        <f>'C5Q'!E48</f>
        <v>0</v>
      </c>
      <c r="G49" s="352">
        <f>'C5Q'!F48</f>
        <v>0</v>
      </c>
      <c r="H49" s="352">
        <f>'C5Q'!G48</f>
        <v>0</v>
      </c>
      <c r="I49" s="38">
        <f t="shared" si="8"/>
        <v>0</v>
      </c>
      <c r="J49" s="405" t="str">
        <f t="shared" si="3"/>
        <v/>
      </c>
      <c r="K49" s="708">
        <f>'C5Q'!J48</f>
        <v>0</v>
      </c>
      <c r="L49" s="339"/>
      <c r="M49" s="340"/>
      <c r="N49" s="340"/>
      <c r="O49" s="340"/>
      <c r="P49" s="340"/>
      <c r="Q49" s="340"/>
      <c r="R49" s="340"/>
      <c r="S49" s="340"/>
      <c r="T49" s="340"/>
      <c r="U49" s="340"/>
      <c r="V49" s="340"/>
      <c r="W49" s="340"/>
    </row>
    <row r="50" spans="1:23" ht="11.25" customHeight="1" x14ac:dyDescent="0.25">
      <c r="A50" s="30" t="str">
        <f>'Org structure'!E55</f>
        <v>5.3 - FX009001002 - Air Transport (Other) - BV</v>
      </c>
      <c r="B50" s="197"/>
      <c r="C50" s="708">
        <f>'C5Q'!B49</f>
        <v>12812760.09</v>
      </c>
      <c r="D50" s="703">
        <f>'C5Q'!C49</f>
        <v>3999000</v>
      </c>
      <c r="E50" s="352">
        <f>'C5Q'!D49</f>
        <v>3999000</v>
      </c>
      <c r="F50" s="352">
        <f>'C5Q'!E49</f>
        <v>0</v>
      </c>
      <c r="G50" s="352">
        <f>'C5Q'!F49</f>
        <v>343970</v>
      </c>
      <c r="H50" s="352">
        <f>'C5Q'!G49</f>
        <v>1499000</v>
      </c>
      <c r="I50" s="38">
        <f t="shared" si="8"/>
        <v>-1155030</v>
      </c>
      <c r="J50" s="405">
        <f t="shared" si="3"/>
        <v>-0.77053368912608411</v>
      </c>
      <c r="K50" s="708">
        <f>'C5Q'!J49</f>
        <v>3999000</v>
      </c>
      <c r="L50" s="339"/>
      <c r="M50" s="340"/>
      <c r="N50" s="340"/>
      <c r="O50" s="340"/>
      <c r="P50" s="340"/>
      <c r="Q50" s="340"/>
      <c r="R50" s="340"/>
      <c r="S50" s="340"/>
      <c r="T50" s="340"/>
      <c r="U50" s="340"/>
      <c r="V50" s="340"/>
      <c r="W50" s="340"/>
    </row>
    <row r="51" spans="1:23" ht="11.25" customHeight="1" x14ac:dyDescent="0.25">
      <c r="A51" s="66" t="str">
        <f>'Org structure'!A7</f>
        <v>Vote 6 - CORPORATE SERVICES - INFORMATION COMMUNICATION TECHNOLOGY</v>
      </c>
      <c r="B51" s="132"/>
      <c r="C51" s="707">
        <f t="shared" ref="C51:H51" si="9">SUM(C52:C52)</f>
        <v>396922.23</v>
      </c>
      <c r="D51" s="723">
        <f t="shared" si="9"/>
        <v>30155000</v>
      </c>
      <c r="E51" s="349">
        <f t="shared" si="9"/>
        <v>30407500</v>
      </c>
      <c r="F51" s="350">
        <f t="shared" si="9"/>
        <v>-0.98</v>
      </c>
      <c r="G51" s="349">
        <f t="shared" si="9"/>
        <v>11676994.859999999</v>
      </c>
      <c r="H51" s="350">
        <f t="shared" si="9"/>
        <v>17784800</v>
      </c>
      <c r="I51" s="38">
        <f t="shared" si="8"/>
        <v>-6107805.1400000006</v>
      </c>
      <c r="J51" s="405">
        <f t="shared" si="3"/>
        <v>-0.34342838491295941</v>
      </c>
      <c r="K51" s="707">
        <f>SUM(K52:K52)</f>
        <v>30407500</v>
      </c>
      <c r="L51" s="339"/>
      <c r="M51" s="340"/>
      <c r="N51" s="340"/>
      <c r="O51" s="340"/>
      <c r="P51" s="340"/>
      <c r="Q51" s="340"/>
      <c r="R51" s="340"/>
      <c r="S51" s="340"/>
      <c r="T51" s="340"/>
      <c r="U51" s="340"/>
      <c r="V51" s="340"/>
      <c r="W51" s="340"/>
    </row>
    <row r="52" spans="1:23" ht="11.25" customHeight="1" x14ac:dyDescent="0.25">
      <c r="A52" s="30" t="str">
        <f>'Org structure'!E64</f>
        <v>6,1 - FX005001007 - Information Technology (Finance and Administration) - BK</v>
      </c>
      <c r="B52" s="197"/>
      <c r="C52" s="708">
        <f>'C5Q'!B51</f>
        <v>396922.23</v>
      </c>
      <c r="D52" s="703">
        <f>'C5Q'!C51</f>
        <v>30155000</v>
      </c>
      <c r="E52" s="352">
        <f>'C5Q'!D51</f>
        <v>30407500</v>
      </c>
      <c r="F52" s="352">
        <f>'C5Q'!E51</f>
        <v>-0.98</v>
      </c>
      <c r="G52" s="352">
        <f>'C5Q'!F51</f>
        <v>11676994.859999999</v>
      </c>
      <c r="H52" s="352">
        <f>'C5Q'!G51</f>
        <v>17784800</v>
      </c>
      <c r="I52" s="38">
        <f t="shared" si="8"/>
        <v>-6107805.1400000006</v>
      </c>
      <c r="J52" s="405">
        <f t="shared" si="3"/>
        <v>-0.34342838491295941</v>
      </c>
      <c r="K52" s="708">
        <f>'C5Q'!J51</f>
        <v>30407500</v>
      </c>
      <c r="L52" s="339"/>
      <c r="M52" s="340"/>
      <c r="N52" s="340"/>
      <c r="O52" s="340"/>
      <c r="P52" s="340"/>
      <c r="Q52" s="340"/>
      <c r="R52" s="340"/>
      <c r="S52" s="340"/>
      <c r="T52" s="340"/>
      <c r="U52" s="340"/>
      <c r="V52" s="340"/>
      <c r="W52" s="340"/>
    </row>
    <row r="53" spans="1:23" ht="11.25" customHeight="1" x14ac:dyDescent="0.25">
      <c r="A53" s="66" t="str">
        <f>'Org structure'!A8</f>
        <v>Vote 7 - CORPORATE SERVICES - HUMAN RESOURCES</v>
      </c>
      <c r="B53" s="132"/>
      <c r="C53" s="707">
        <f t="shared" ref="C53:H53" si="10">SUM(C54:C57)</f>
        <v>0</v>
      </c>
      <c r="D53" s="723">
        <f t="shared" si="10"/>
        <v>0</v>
      </c>
      <c r="E53" s="349">
        <f t="shared" si="10"/>
        <v>0</v>
      </c>
      <c r="F53" s="350">
        <f t="shared" si="10"/>
        <v>0</v>
      </c>
      <c r="G53" s="349">
        <f t="shared" si="10"/>
        <v>0</v>
      </c>
      <c r="H53" s="350">
        <f t="shared" si="10"/>
        <v>0</v>
      </c>
      <c r="I53" s="38">
        <f t="shared" si="8"/>
        <v>0</v>
      </c>
      <c r="J53" s="405" t="str">
        <f t="shared" si="3"/>
        <v/>
      </c>
      <c r="K53" s="707">
        <f>SUM(K54:K57)</f>
        <v>0</v>
      </c>
      <c r="L53" s="339"/>
      <c r="M53" s="340"/>
      <c r="N53" s="340"/>
      <c r="O53" s="340"/>
      <c r="P53" s="340"/>
      <c r="Q53" s="340"/>
      <c r="R53" s="340"/>
      <c r="S53" s="340"/>
      <c r="T53" s="340"/>
      <c r="U53" s="340"/>
      <c r="V53" s="340"/>
      <c r="W53" s="340"/>
    </row>
    <row r="54" spans="1:23" ht="11.25" customHeight="1" x14ac:dyDescent="0.25">
      <c r="A54" s="30" t="str">
        <f>'Org structure'!E75</f>
        <v>7,1 - FX005001006001 - Human Resources (Finance and Administration) - BG</v>
      </c>
      <c r="B54" s="197"/>
      <c r="C54" s="708">
        <f>'C5Q'!B53</f>
        <v>0</v>
      </c>
      <c r="D54" s="703">
        <f>'C5Q'!C53</f>
        <v>0</v>
      </c>
      <c r="E54" s="352">
        <f>'C5Q'!D53</f>
        <v>0</v>
      </c>
      <c r="F54" s="352">
        <f>'C5Q'!E53</f>
        <v>0</v>
      </c>
      <c r="G54" s="352">
        <f>'C5Q'!F53</f>
        <v>0</v>
      </c>
      <c r="H54" s="352">
        <f>'C5Q'!G53</f>
        <v>0</v>
      </c>
      <c r="I54" s="38">
        <f t="shared" si="8"/>
        <v>0</v>
      </c>
      <c r="J54" s="405" t="str">
        <f t="shared" si="3"/>
        <v/>
      </c>
      <c r="K54" s="708">
        <f>'C5Q'!J53</f>
        <v>0</v>
      </c>
      <c r="L54" s="339"/>
      <c r="M54" s="340"/>
      <c r="N54" s="340"/>
      <c r="O54" s="340"/>
      <c r="P54" s="340"/>
      <c r="Q54" s="340"/>
      <c r="R54" s="340"/>
      <c r="S54" s="340"/>
      <c r="T54" s="340"/>
      <c r="U54" s="340"/>
      <c r="V54" s="340"/>
      <c r="W54" s="340"/>
    </row>
    <row r="55" spans="1:23" ht="11.25" customHeight="1" x14ac:dyDescent="0.25">
      <c r="A55" s="30" t="str">
        <f>'Org structure'!E76</f>
        <v>7,2 - FX005001006002 - Management Services  (Finance and Administration) - BH</v>
      </c>
      <c r="B55" s="197"/>
      <c r="C55" s="708">
        <f>'C5Q'!B54</f>
        <v>0</v>
      </c>
      <c r="D55" s="703">
        <f>'C5Q'!C54</f>
        <v>0</v>
      </c>
      <c r="E55" s="352">
        <f>'C5Q'!D54</f>
        <v>0</v>
      </c>
      <c r="F55" s="352">
        <f>'C5Q'!E54</f>
        <v>0</v>
      </c>
      <c r="G55" s="352">
        <f>'C5Q'!F54</f>
        <v>0</v>
      </c>
      <c r="H55" s="352">
        <f>'C5Q'!G54</f>
        <v>0</v>
      </c>
      <c r="I55" s="38">
        <f t="shared" si="8"/>
        <v>0</v>
      </c>
      <c r="J55" s="405" t="str">
        <f t="shared" si="3"/>
        <v/>
      </c>
      <c r="K55" s="708">
        <f>'C5Q'!J54</f>
        <v>0</v>
      </c>
      <c r="L55" s="339"/>
      <c r="M55" s="340"/>
      <c r="N55" s="340"/>
      <c r="O55" s="340"/>
      <c r="P55" s="340"/>
      <c r="Q55" s="340"/>
      <c r="R55" s="340"/>
      <c r="S55" s="340"/>
      <c r="T55" s="340"/>
      <c r="U55" s="340"/>
      <c r="V55" s="340"/>
      <c r="W55" s="340"/>
    </row>
    <row r="56" spans="1:23" ht="11.25" customHeight="1" x14ac:dyDescent="0.25">
      <c r="A56" s="30" t="str">
        <f>'Org structure'!E77</f>
        <v>7,3 - FX005001006004 - Training and Industrial Relations (Finance and Administration) - BJ</v>
      </c>
      <c r="B56" s="197"/>
      <c r="C56" s="708">
        <f>'C5Q'!B55</f>
        <v>0</v>
      </c>
      <c r="D56" s="703">
        <f>'C5Q'!C55</f>
        <v>0</v>
      </c>
      <c r="E56" s="352">
        <f>'C5Q'!D55</f>
        <v>0</v>
      </c>
      <c r="F56" s="352">
        <f>'C5Q'!E55</f>
        <v>0</v>
      </c>
      <c r="G56" s="352">
        <f>'C5Q'!F55</f>
        <v>0</v>
      </c>
      <c r="H56" s="352">
        <f>'C5Q'!G55</f>
        <v>0</v>
      </c>
      <c r="I56" s="38">
        <f t="shared" si="8"/>
        <v>0</v>
      </c>
      <c r="J56" s="405" t="str">
        <f t="shared" si="3"/>
        <v/>
      </c>
      <c r="K56" s="708">
        <f>'C5Q'!J55</f>
        <v>0</v>
      </c>
      <c r="L56" s="339"/>
      <c r="M56" s="340"/>
      <c r="N56" s="340"/>
      <c r="O56" s="340"/>
      <c r="P56" s="340"/>
      <c r="Q56" s="340"/>
      <c r="R56" s="340"/>
      <c r="S56" s="340"/>
      <c r="T56" s="340"/>
      <c r="U56" s="340"/>
      <c r="V56" s="340"/>
      <c r="W56" s="340"/>
    </row>
    <row r="57" spans="1:23" ht="11.25" customHeight="1" x14ac:dyDescent="0.25">
      <c r="A57" s="30" t="str">
        <f>'Org structure'!E78</f>
        <v>7,4 - FX005001006003 - Occupational Clinic (Finance and Administration) - BI</v>
      </c>
      <c r="B57" s="197"/>
      <c r="C57" s="708">
        <f>'C5Q'!B56</f>
        <v>0</v>
      </c>
      <c r="D57" s="703">
        <f>'C5Q'!C56</f>
        <v>0</v>
      </c>
      <c r="E57" s="352">
        <f>'C5Q'!D56</f>
        <v>0</v>
      </c>
      <c r="F57" s="352">
        <f>'C5Q'!E56</f>
        <v>0</v>
      </c>
      <c r="G57" s="352">
        <f>'C5Q'!F56</f>
        <v>0</v>
      </c>
      <c r="H57" s="352">
        <f>'C5Q'!G56</f>
        <v>0</v>
      </c>
      <c r="I57" s="38">
        <f t="shared" si="8"/>
        <v>0</v>
      </c>
      <c r="J57" s="405" t="str">
        <f t="shared" si="3"/>
        <v/>
      </c>
      <c r="K57" s="708">
        <f>'C5Q'!J56</f>
        <v>0</v>
      </c>
      <c r="L57" s="339"/>
      <c r="M57" s="340"/>
      <c r="N57" s="340"/>
      <c r="O57" s="340"/>
      <c r="P57" s="340"/>
      <c r="Q57" s="340"/>
      <c r="R57" s="340"/>
      <c r="S57" s="340"/>
      <c r="T57" s="340"/>
      <c r="U57" s="340"/>
      <c r="V57" s="340"/>
      <c r="W57" s="340"/>
    </row>
    <row r="58" spans="1:23" ht="11.25" customHeight="1" x14ac:dyDescent="0.25">
      <c r="A58" s="66" t="str">
        <f>'Org structure'!A9</f>
        <v>Vote 8 - FINANCIAL SERVICES</v>
      </c>
      <c r="B58" s="197"/>
      <c r="C58" s="707">
        <f t="shared" ref="C58:H58" si="11">SUM(C59:C63)</f>
        <v>15649</v>
      </c>
      <c r="D58" s="723">
        <f t="shared" si="11"/>
        <v>109000</v>
      </c>
      <c r="E58" s="349">
        <f t="shared" si="11"/>
        <v>78000</v>
      </c>
      <c r="F58" s="350">
        <f t="shared" si="11"/>
        <v>0</v>
      </c>
      <c r="G58" s="349">
        <f t="shared" si="11"/>
        <v>24829.96</v>
      </c>
      <c r="H58" s="350">
        <f t="shared" si="11"/>
        <v>70099.960000000006</v>
      </c>
      <c r="I58" s="38">
        <f t="shared" si="8"/>
        <v>-45270.000000000007</v>
      </c>
      <c r="J58" s="405">
        <f t="shared" si="3"/>
        <v>-0.64579209460319242</v>
      </c>
      <c r="K58" s="707">
        <f>SUM(K59:K63)</f>
        <v>78000</v>
      </c>
      <c r="L58" s="353"/>
      <c r="M58" s="354"/>
      <c r="N58" s="354"/>
      <c r="O58" s="354"/>
      <c r="P58" s="354"/>
      <c r="Q58" s="354"/>
      <c r="R58" s="354"/>
      <c r="S58" s="354"/>
      <c r="T58" s="354"/>
      <c r="U58" s="354"/>
      <c r="V58" s="354"/>
      <c r="W58" s="354"/>
    </row>
    <row r="59" spans="1:23" ht="11.25" customHeight="1" x14ac:dyDescent="0.25">
      <c r="A59" s="30" t="str">
        <f>'Org structure'!E86</f>
        <v>8,1 - FX005001004001 - Financial Management Grant Interns (Finance and Administration) - DR</v>
      </c>
      <c r="B59" s="197"/>
      <c r="C59" s="708">
        <f>'C5Q'!B58</f>
        <v>32975</v>
      </c>
      <c r="D59" s="703">
        <f>'C5Q'!C58</f>
        <v>0</v>
      </c>
      <c r="E59" s="352">
        <f>'C5Q'!D58</f>
        <v>0</v>
      </c>
      <c r="F59" s="352">
        <f>'C5Q'!E58</f>
        <v>0</v>
      </c>
      <c r="G59" s="352">
        <f>'C5Q'!F58</f>
        <v>0</v>
      </c>
      <c r="H59" s="352">
        <f>'C5Q'!G58</f>
        <v>0</v>
      </c>
      <c r="I59" s="38">
        <f t="shared" si="8"/>
        <v>0</v>
      </c>
      <c r="J59" s="405" t="str">
        <f t="shared" si="3"/>
        <v/>
      </c>
      <c r="K59" s="708">
        <f>'C5Q'!J58</f>
        <v>0</v>
      </c>
      <c r="L59" s="703">
        <f>'C5Q'!K58</f>
        <v>0</v>
      </c>
      <c r="M59" s="352">
        <f>'C5Q'!L58</f>
        <v>0</v>
      </c>
      <c r="N59" s="352" t="str">
        <f>'C5Q'!M58</f>
        <v>8,1 - FX005001004001 - Financial Management Grant Interns-DR</v>
      </c>
      <c r="O59" s="352">
        <f>'C5Q'!N58</f>
        <v>0</v>
      </c>
      <c r="P59" s="352">
        <f>'C5Q'!O58</f>
        <v>0</v>
      </c>
      <c r="Q59" s="352">
        <f>'C5Q'!P58</f>
        <v>0</v>
      </c>
      <c r="R59" s="352">
        <f>'C5Q'!Q58</f>
        <v>0</v>
      </c>
      <c r="S59" s="352">
        <f>'C5Q'!R58</f>
        <v>0</v>
      </c>
      <c r="T59" s="352">
        <f>'C5Q'!S58</f>
        <v>0</v>
      </c>
      <c r="U59" s="352">
        <f>'C5Q'!T58</f>
        <v>0</v>
      </c>
      <c r="V59" s="352">
        <f>'C5Q'!U58</f>
        <v>0</v>
      </c>
      <c r="W59" s="352">
        <f>'C5Q'!V58</f>
        <v>0</v>
      </c>
    </row>
    <row r="60" spans="1:23" ht="11.25" customHeight="1" x14ac:dyDescent="0.25">
      <c r="A60" s="30" t="str">
        <f>'Org structure'!E87</f>
        <v>8,2 - FX005001004002 - Revenue and Expenditure (Finance and Administration) - DS</v>
      </c>
      <c r="B60" s="197"/>
      <c r="C60" s="708">
        <f>'C5Q'!B59</f>
        <v>-17326</v>
      </c>
      <c r="D60" s="703">
        <f>'C5Q'!C59</f>
        <v>109000</v>
      </c>
      <c r="E60" s="352">
        <f>'C5Q'!D59</f>
        <v>78000</v>
      </c>
      <c r="F60" s="352">
        <f>'C5Q'!E59</f>
        <v>0</v>
      </c>
      <c r="G60" s="352">
        <f>'C5Q'!F59</f>
        <v>24829.96</v>
      </c>
      <c r="H60" s="352">
        <f>'C5Q'!G59</f>
        <v>70099.960000000006</v>
      </c>
      <c r="I60" s="38">
        <f t="shared" si="8"/>
        <v>-45270.000000000007</v>
      </c>
      <c r="J60" s="405">
        <f t="shared" si="3"/>
        <v>-0.64579209460319242</v>
      </c>
      <c r="K60" s="708">
        <f>'C5Q'!J59</f>
        <v>78000</v>
      </c>
      <c r="L60" s="703">
        <f>'C5Q'!K59</f>
        <v>0</v>
      </c>
      <c r="M60" s="352">
        <f>'C5Q'!L59</f>
        <v>0</v>
      </c>
      <c r="N60" s="352" t="str">
        <f>'C5Q'!M59</f>
        <v>8,2 - FX005001004002 - Revenue and Expenditure - DS</v>
      </c>
      <c r="O60" s="352">
        <f>'C5Q'!N59</f>
        <v>32585</v>
      </c>
      <c r="P60" s="352">
        <f>'C5Q'!O59</f>
        <v>0</v>
      </c>
      <c r="Q60" s="352">
        <f>'C5Q'!P59</f>
        <v>31000</v>
      </c>
      <c r="R60" s="352">
        <f>'C5Q'!Q59</f>
        <v>0</v>
      </c>
      <c r="S60" s="352">
        <f>'C5Q'!R59</f>
        <v>29799</v>
      </c>
      <c r="T60" s="352">
        <f>'C5Q'!S59</f>
        <v>31000</v>
      </c>
      <c r="U60" s="352">
        <f>'C5Q'!T59</f>
        <v>1201</v>
      </c>
      <c r="V60" s="352">
        <f>'C5Q'!U59</f>
        <v>3.8741935483871002</v>
      </c>
      <c r="W60" s="352">
        <f>'C5Q'!V59</f>
        <v>31000</v>
      </c>
    </row>
    <row r="61" spans="1:23" ht="11.25" customHeight="1" x14ac:dyDescent="0.25">
      <c r="A61" s="30" t="str">
        <f>'Org structure'!E88</f>
        <v>8,3 - FX005001004003 - Finance (Finance and Adminstration) - DT</v>
      </c>
      <c r="B61" s="197"/>
      <c r="C61" s="708">
        <f>'C5Q'!B60</f>
        <v>0</v>
      </c>
      <c r="D61" s="703">
        <f>'C5Q'!C60</f>
        <v>0</v>
      </c>
      <c r="E61" s="352">
        <f>'C5Q'!D60</f>
        <v>0</v>
      </c>
      <c r="F61" s="352">
        <f>'C5Q'!E60</f>
        <v>0</v>
      </c>
      <c r="G61" s="352">
        <f>'C5Q'!F60</f>
        <v>0</v>
      </c>
      <c r="H61" s="352">
        <f>'C5Q'!G60</f>
        <v>0</v>
      </c>
      <c r="I61" s="38">
        <f t="shared" si="8"/>
        <v>0</v>
      </c>
      <c r="J61" s="405" t="str">
        <f t="shared" si="3"/>
        <v/>
      </c>
      <c r="K61" s="708">
        <f>'C5Q'!J60</f>
        <v>0</v>
      </c>
      <c r="L61" s="703">
        <f>'C5Q'!K60</f>
        <v>0</v>
      </c>
      <c r="M61" s="352">
        <f>'C5Q'!L60</f>
        <v>0</v>
      </c>
      <c r="N61" s="352" t="str">
        <f>'C5Q'!M60</f>
        <v>8.3 - FX005001004 - Finance (Finance and Adminstration) - DT</v>
      </c>
      <c r="O61" s="352">
        <f>'C5Q'!N60</f>
        <v>0</v>
      </c>
      <c r="P61" s="352">
        <f>'C5Q'!O60</f>
        <v>0</v>
      </c>
      <c r="Q61" s="352">
        <f>'C5Q'!P60</f>
        <v>0</v>
      </c>
      <c r="R61" s="352">
        <f>'C5Q'!Q60</f>
        <v>0</v>
      </c>
      <c r="S61" s="352">
        <f>'C5Q'!R60</f>
        <v>0</v>
      </c>
      <c r="T61" s="352">
        <f>'C5Q'!S60</f>
        <v>0</v>
      </c>
      <c r="U61" s="352">
        <f>'C5Q'!T60</f>
        <v>0</v>
      </c>
      <c r="V61" s="352">
        <f>'C5Q'!U60</f>
        <v>0</v>
      </c>
      <c r="W61" s="352">
        <f>'C5Q'!V60</f>
        <v>0</v>
      </c>
    </row>
    <row r="62" spans="1:23" ht="11.25" customHeight="1" x14ac:dyDescent="0.25">
      <c r="A62" s="30" t="str">
        <f>'Org structure'!E89</f>
        <v>8,4 - FX005001013 - Supply Chain Management (Finance and Administration) - BQ</v>
      </c>
      <c r="B62" s="197"/>
      <c r="C62" s="708">
        <f>'C5Q'!B61</f>
        <v>0</v>
      </c>
      <c r="D62" s="703">
        <f>'C5Q'!C61</f>
        <v>0</v>
      </c>
      <c r="E62" s="352">
        <f>'C5Q'!D61</f>
        <v>0</v>
      </c>
      <c r="F62" s="352">
        <f>'C5Q'!E61</f>
        <v>0</v>
      </c>
      <c r="G62" s="352">
        <f>'C5Q'!F61</f>
        <v>0</v>
      </c>
      <c r="H62" s="352">
        <f>'C5Q'!G61</f>
        <v>0</v>
      </c>
      <c r="I62" s="38">
        <f t="shared" si="8"/>
        <v>0</v>
      </c>
      <c r="J62" s="405" t="str">
        <f t="shared" si="3"/>
        <v/>
      </c>
      <c r="K62" s="708">
        <f>'C5Q'!J61</f>
        <v>0</v>
      </c>
      <c r="L62" s="703">
        <f>'C5Q'!K61</f>
        <v>0</v>
      </c>
      <c r="M62" s="352">
        <f>'C5Q'!L61</f>
        <v>0</v>
      </c>
      <c r="N62" s="352" t="str">
        <f>'C5Q'!M61</f>
        <v>8.4 - FX005001013 - Supply Chain Management - BQ</v>
      </c>
      <c r="O62" s="352">
        <f>'C5Q'!N61</f>
        <v>0</v>
      </c>
      <c r="P62" s="352">
        <f>'C5Q'!O61</f>
        <v>0</v>
      </c>
      <c r="Q62" s="352">
        <f>'C5Q'!P61</f>
        <v>0</v>
      </c>
      <c r="R62" s="352">
        <f>'C5Q'!Q61</f>
        <v>0</v>
      </c>
      <c r="S62" s="352">
        <f>'C5Q'!R61</f>
        <v>0</v>
      </c>
      <c r="T62" s="352">
        <f>'C5Q'!S61</f>
        <v>0</v>
      </c>
      <c r="U62" s="352">
        <f>'C5Q'!T61</f>
        <v>0</v>
      </c>
      <c r="V62" s="352">
        <f>'C5Q'!U61</f>
        <v>0</v>
      </c>
      <c r="W62" s="352">
        <f>'C5Q'!V61</f>
        <v>0</v>
      </c>
    </row>
    <row r="63" spans="1:23" ht="11.25" customHeight="1" x14ac:dyDescent="0.25">
      <c r="A63" s="30" t="str">
        <f>'Org structure'!E90</f>
        <v>8,5 - FX005002001 - Asset Management (Finance and Administration) - BS</v>
      </c>
      <c r="B63" s="197"/>
      <c r="C63" s="708">
        <f>'C5Q'!B62</f>
        <v>0</v>
      </c>
      <c r="D63" s="703">
        <f>'C5Q'!C62</f>
        <v>0</v>
      </c>
      <c r="E63" s="352">
        <f>'C5Q'!D62</f>
        <v>0</v>
      </c>
      <c r="F63" s="352">
        <f>'C5Q'!E62</f>
        <v>0</v>
      </c>
      <c r="G63" s="352">
        <f>'C5Q'!F62</f>
        <v>0</v>
      </c>
      <c r="H63" s="352">
        <f>'C5Q'!G62</f>
        <v>0</v>
      </c>
      <c r="I63" s="38">
        <f t="shared" si="8"/>
        <v>0</v>
      </c>
      <c r="J63" s="405" t="str">
        <f t="shared" si="3"/>
        <v/>
      </c>
      <c r="K63" s="708">
        <f>'C5Q'!J62</f>
        <v>0</v>
      </c>
      <c r="L63" s="703">
        <f>'C5Q'!K62</f>
        <v>0</v>
      </c>
      <c r="M63" s="352">
        <f>'C5Q'!L62</f>
        <v>0</v>
      </c>
      <c r="N63" s="352" t="str">
        <f>'C5Q'!M62</f>
        <v>8.5 - FX005002001 - Asset Management - BS</v>
      </c>
      <c r="O63" s="352">
        <f>'C5Q'!N62</f>
        <v>0</v>
      </c>
      <c r="P63" s="352">
        <f>'C5Q'!O62</f>
        <v>0</v>
      </c>
      <c r="Q63" s="352">
        <f>'C5Q'!P62</f>
        <v>0</v>
      </c>
      <c r="R63" s="352">
        <f>'C5Q'!Q62</f>
        <v>0</v>
      </c>
      <c r="S63" s="352">
        <f>'C5Q'!R62</f>
        <v>0</v>
      </c>
      <c r="T63" s="352">
        <f>'C5Q'!S62</f>
        <v>0</v>
      </c>
      <c r="U63" s="352">
        <f>'C5Q'!T62</f>
        <v>0</v>
      </c>
      <c r="V63" s="352">
        <f>'C5Q'!U62</f>
        <v>0</v>
      </c>
      <c r="W63" s="352">
        <f>'C5Q'!V62</f>
        <v>0</v>
      </c>
    </row>
    <row r="64" spans="1:23" ht="11.25" customHeight="1" x14ac:dyDescent="0.25">
      <c r="A64" s="66" t="str">
        <f>'Org structure'!A10</f>
        <v>Vote 9 - ELECTRICAL AND ENERGY SUPPLY SERVICES</v>
      </c>
      <c r="B64" s="197"/>
      <c r="C64" s="707">
        <f t="shared" ref="C64:H64" si="12">SUM(C65:C71)</f>
        <v>93568553.480000004</v>
      </c>
      <c r="D64" s="723">
        <f t="shared" si="12"/>
        <v>81172300</v>
      </c>
      <c r="E64" s="349">
        <f t="shared" si="12"/>
        <v>86627800</v>
      </c>
      <c r="F64" s="350">
        <f t="shared" si="12"/>
        <v>7932069.71</v>
      </c>
      <c r="G64" s="349">
        <f t="shared" si="12"/>
        <v>25682257.710000001</v>
      </c>
      <c r="H64" s="350">
        <f t="shared" si="12"/>
        <v>45318243.120000005</v>
      </c>
      <c r="I64" s="38">
        <f t="shared" si="8"/>
        <v>-19635985.410000004</v>
      </c>
      <c r="J64" s="405">
        <f t="shared" si="3"/>
        <v>-0.43329096756917707</v>
      </c>
      <c r="K64" s="707">
        <f>SUM(K65:K71)</f>
        <v>86627800</v>
      </c>
      <c r="L64" s="353"/>
      <c r="M64" s="354"/>
      <c r="N64" s="354"/>
      <c r="O64" s="354"/>
      <c r="P64" s="354"/>
      <c r="Q64" s="354"/>
      <c r="R64" s="354"/>
      <c r="S64" s="354"/>
      <c r="T64" s="354"/>
      <c r="U64" s="354"/>
      <c r="V64" s="354"/>
      <c r="W64" s="354"/>
    </row>
    <row r="65" spans="1:23" ht="11.25" customHeight="1" x14ac:dyDescent="0.25">
      <c r="A65" s="30" t="str">
        <f>'Org structure'!E97</f>
        <v>9,1 - FX002001001001 - Marketing and Customer relations (Energy Sources) - AI</v>
      </c>
      <c r="B65" s="197"/>
      <c r="C65" s="708">
        <f>'C5Q'!B64</f>
        <v>0</v>
      </c>
      <c r="D65" s="703">
        <f>'C5Q'!C64</f>
        <v>0</v>
      </c>
      <c r="E65" s="352">
        <f>'C5Q'!D64</f>
        <v>0</v>
      </c>
      <c r="F65" s="352">
        <f>'C5Q'!E64</f>
        <v>0</v>
      </c>
      <c r="G65" s="352">
        <f>'C5Q'!F64</f>
        <v>0</v>
      </c>
      <c r="H65" s="352">
        <f>'C5Q'!G64</f>
        <v>0</v>
      </c>
      <c r="I65" s="38">
        <f t="shared" si="8"/>
        <v>0</v>
      </c>
      <c r="J65" s="405" t="str">
        <f t="shared" si="3"/>
        <v/>
      </c>
      <c r="K65" s="708">
        <f>'C5Q'!J64</f>
        <v>0</v>
      </c>
      <c r="L65" s="353"/>
      <c r="M65" s="354"/>
      <c r="N65" s="354"/>
      <c r="O65" s="354"/>
      <c r="P65" s="354"/>
      <c r="Q65" s="354"/>
      <c r="R65" s="354"/>
      <c r="S65" s="354"/>
      <c r="T65" s="354"/>
      <c r="U65" s="354"/>
      <c r="V65" s="354"/>
      <c r="W65" s="354"/>
    </row>
    <row r="66" spans="1:23" ht="11.25" customHeight="1" x14ac:dyDescent="0.25">
      <c r="A66" s="30" t="str">
        <f>'Org structure'!E98</f>
        <v>9,2 - FX002001001002 - Administration (Energy Sources) - AJ</v>
      </c>
      <c r="B66" s="197"/>
      <c r="C66" s="708">
        <f>'C5Q'!B65</f>
        <v>0</v>
      </c>
      <c r="D66" s="703">
        <f>'C5Q'!C65</f>
        <v>0</v>
      </c>
      <c r="E66" s="352">
        <f>'C5Q'!D65</f>
        <v>0</v>
      </c>
      <c r="F66" s="352">
        <f>'C5Q'!E65</f>
        <v>0</v>
      </c>
      <c r="G66" s="352">
        <f>'C5Q'!F65</f>
        <v>0</v>
      </c>
      <c r="H66" s="352">
        <f>'C5Q'!G65</f>
        <v>0</v>
      </c>
      <c r="I66" s="38">
        <f t="shared" si="8"/>
        <v>0</v>
      </c>
      <c r="J66" s="405" t="str">
        <f t="shared" si="3"/>
        <v/>
      </c>
      <c r="K66" s="708">
        <f>'C5Q'!J65</f>
        <v>0</v>
      </c>
      <c r="L66" s="353"/>
      <c r="M66" s="354"/>
      <c r="N66" s="354"/>
      <c r="O66" s="354"/>
      <c r="P66" s="354"/>
      <c r="Q66" s="354"/>
      <c r="R66" s="354"/>
      <c r="S66" s="354"/>
      <c r="T66" s="354"/>
      <c r="U66" s="354"/>
      <c r="V66" s="354"/>
      <c r="W66" s="354"/>
    </row>
    <row r="67" spans="1:23" ht="11.25" customHeight="1" x14ac:dyDescent="0.25">
      <c r="A67" s="30" t="str">
        <f>'Org structure'!E99</f>
        <v>9,3 - FX002001001004 - Electricity Distribution (Energy Sources) - AL</v>
      </c>
      <c r="B67" s="197"/>
      <c r="C67" s="708">
        <f>'C5Q'!B66</f>
        <v>84381748.769999996</v>
      </c>
      <c r="D67" s="703">
        <f>'C5Q'!C66</f>
        <v>70035300</v>
      </c>
      <c r="E67" s="352">
        <f>'C5Q'!D66</f>
        <v>70035300</v>
      </c>
      <c r="F67" s="352">
        <f>'C5Q'!E66</f>
        <v>7689382.2999999998</v>
      </c>
      <c r="G67" s="352">
        <f>'C5Q'!F66</f>
        <v>14297897.279999999</v>
      </c>
      <c r="H67" s="352">
        <f>'C5Q'!G66</f>
        <v>33351564.699999999</v>
      </c>
      <c r="I67" s="38">
        <f t="shared" si="8"/>
        <v>-19053667.420000002</v>
      </c>
      <c r="J67" s="405">
        <f t="shared" si="3"/>
        <v>-0.57129755654312686</v>
      </c>
      <c r="K67" s="708">
        <f>'C5Q'!J66</f>
        <v>70035300</v>
      </c>
      <c r="L67" s="353"/>
      <c r="M67" s="354"/>
      <c r="N67" s="354"/>
      <c r="O67" s="354"/>
      <c r="P67" s="354"/>
      <c r="Q67" s="354"/>
      <c r="R67" s="354"/>
      <c r="S67" s="354"/>
      <c r="T67" s="354"/>
      <c r="U67" s="354"/>
      <c r="V67" s="354"/>
      <c r="W67" s="354"/>
    </row>
    <row r="68" spans="1:23" ht="11.25" customHeight="1" x14ac:dyDescent="0.25">
      <c r="A68" s="30" t="str">
        <f>'Org structure'!E100</f>
        <v>9,4 - FX002001001005 - Electricity Planning (Energy Sources) - AN</v>
      </c>
      <c r="B68" s="197"/>
      <c r="C68" s="708">
        <f>'C5Q'!B67</f>
        <v>0</v>
      </c>
      <c r="D68" s="703">
        <f>'C5Q'!C67</f>
        <v>0</v>
      </c>
      <c r="E68" s="352">
        <f>'C5Q'!D67</f>
        <v>0</v>
      </c>
      <c r="F68" s="352">
        <f>'C5Q'!E67</f>
        <v>0</v>
      </c>
      <c r="G68" s="352">
        <f>'C5Q'!F67</f>
        <v>0</v>
      </c>
      <c r="H68" s="352">
        <f>'C5Q'!G67</f>
        <v>0</v>
      </c>
      <c r="I68" s="38">
        <f t="shared" si="8"/>
        <v>0</v>
      </c>
      <c r="J68" s="405" t="str">
        <f t="shared" si="3"/>
        <v/>
      </c>
      <c r="K68" s="708">
        <f>'C5Q'!J67</f>
        <v>0</v>
      </c>
      <c r="L68" s="353"/>
      <c r="M68" s="354"/>
      <c r="N68" s="354"/>
      <c r="O68" s="354"/>
      <c r="P68" s="354"/>
      <c r="Q68" s="354"/>
      <c r="R68" s="354"/>
      <c r="S68" s="354"/>
      <c r="T68" s="354"/>
      <c r="U68" s="354"/>
      <c r="V68" s="354"/>
      <c r="W68" s="354"/>
    </row>
    <row r="69" spans="1:23" ht="11.25" customHeight="1" x14ac:dyDescent="0.25">
      <c r="A69" s="30" t="str">
        <f>'Org structure'!E101</f>
        <v>9,5 - FX002001002001 - Street Lighting (Energy Sources) - AP</v>
      </c>
      <c r="B69" s="197"/>
      <c r="C69" s="708">
        <f>'C5Q'!B68</f>
        <v>4692111.63</v>
      </c>
      <c r="D69" s="703">
        <f>'C5Q'!C68</f>
        <v>5823000</v>
      </c>
      <c r="E69" s="352">
        <f>'C5Q'!D68</f>
        <v>5823000</v>
      </c>
      <c r="F69" s="352">
        <f>'C5Q'!E68</f>
        <v>143600</v>
      </c>
      <c r="G69" s="352">
        <f>'C5Q'!F68</f>
        <v>832980</v>
      </c>
      <c r="H69" s="352">
        <f>'C5Q'!G68</f>
        <v>5053000</v>
      </c>
      <c r="I69" s="38">
        <f t="shared" si="8"/>
        <v>-4220020</v>
      </c>
      <c r="J69" s="405">
        <f t="shared" si="3"/>
        <v>-0.83515139521076587</v>
      </c>
      <c r="K69" s="708">
        <f>'C5Q'!J68</f>
        <v>5823000</v>
      </c>
      <c r="L69" s="353"/>
      <c r="M69" s="354"/>
      <c r="N69" s="354"/>
      <c r="O69" s="354"/>
      <c r="P69" s="354"/>
      <c r="Q69" s="354"/>
      <c r="R69" s="354"/>
      <c r="S69" s="354"/>
      <c r="T69" s="354"/>
      <c r="U69" s="354"/>
      <c r="V69" s="354"/>
      <c r="W69" s="354"/>
    </row>
    <row r="70" spans="1:23" ht="11.25" customHeight="1" x14ac:dyDescent="0.25">
      <c r="A70" s="30" t="str">
        <f>'Org structure'!E102</f>
        <v>9,6 - FX002001002002 - Process Control Systems (Energy Sources) - AQ</v>
      </c>
      <c r="B70" s="197"/>
      <c r="C70" s="708">
        <f>'C5Q'!B69</f>
        <v>2301086.9</v>
      </c>
      <c r="D70" s="703">
        <f>'C5Q'!C69</f>
        <v>814000</v>
      </c>
      <c r="E70" s="352">
        <f>'C5Q'!D69</f>
        <v>814000</v>
      </c>
      <c r="F70" s="352">
        <f>'C5Q'!E69</f>
        <v>0</v>
      </c>
      <c r="G70" s="352">
        <f>'C5Q'!F69</f>
        <v>0</v>
      </c>
      <c r="H70" s="352">
        <f>'C5Q'!G69</f>
        <v>500000</v>
      </c>
      <c r="I70" s="38">
        <f t="shared" si="8"/>
        <v>-500000</v>
      </c>
      <c r="J70" s="405">
        <f t="shared" si="3"/>
        <v>-1</v>
      </c>
      <c r="K70" s="708">
        <f>'C5Q'!J69</f>
        <v>814000</v>
      </c>
      <c r="L70" s="353"/>
      <c r="M70" s="354"/>
      <c r="N70" s="354"/>
      <c r="O70" s="354"/>
      <c r="P70" s="354"/>
      <c r="Q70" s="354"/>
      <c r="R70" s="354"/>
      <c r="S70" s="354"/>
      <c r="T70" s="354"/>
      <c r="U70" s="354"/>
      <c r="V70" s="354"/>
      <c r="W70" s="354"/>
    </row>
    <row r="71" spans="1:23" ht="11.25" customHeight="1" x14ac:dyDescent="0.25">
      <c r="A71" s="30" t="str">
        <f>'Org structure'!E103</f>
        <v>9,7 - FX005001005 - Fleet Management (Finance and Administration) - BF</v>
      </c>
      <c r="B71" s="197"/>
      <c r="C71" s="708">
        <f>'C5Q'!B70</f>
        <v>2193606.1800000002</v>
      </c>
      <c r="D71" s="703">
        <f>'C5Q'!C70</f>
        <v>4500000</v>
      </c>
      <c r="E71" s="352">
        <f>'C5Q'!D70</f>
        <v>9955500</v>
      </c>
      <c r="F71" s="352">
        <f>'C5Q'!E70</f>
        <v>99087.41</v>
      </c>
      <c r="G71" s="352">
        <f>'C5Q'!F70</f>
        <v>10551380.43</v>
      </c>
      <c r="H71" s="352">
        <f>'C5Q'!G70</f>
        <v>6413678.4199999999</v>
      </c>
      <c r="I71" s="38">
        <f t="shared" si="8"/>
        <v>4137702.01</v>
      </c>
      <c r="J71" s="405">
        <f t="shared" si="3"/>
        <v>0.64513711774155336</v>
      </c>
      <c r="K71" s="708">
        <f>'C5Q'!J70</f>
        <v>9955500</v>
      </c>
      <c r="L71" s="353"/>
      <c r="M71" s="354"/>
      <c r="N71" s="354"/>
      <c r="O71" s="354"/>
      <c r="P71" s="354"/>
      <c r="Q71" s="354"/>
      <c r="R71" s="354"/>
      <c r="S71" s="354"/>
      <c r="T71" s="354"/>
      <c r="U71" s="354"/>
      <c r="V71" s="354"/>
      <c r="W71" s="354"/>
    </row>
    <row r="72" spans="1:23" ht="11.25" customHeight="1" x14ac:dyDescent="0.25">
      <c r="A72" s="66" t="str">
        <f>'Org structure'!A11</f>
        <v>Vote 10 - INFRASTRUCTURE SERVICES - INFRASTRUCTURE AND FACILITIES MANAGEMENT SERVICES</v>
      </c>
      <c r="B72" s="197"/>
      <c r="C72" s="707">
        <f t="shared" ref="C72:H72" si="13">SUM(C73:C74)</f>
        <v>0</v>
      </c>
      <c r="D72" s="723">
        <f t="shared" si="13"/>
        <v>2000</v>
      </c>
      <c r="E72" s="349">
        <f t="shared" si="13"/>
        <v>2000</v>
      </c>
      <c r="F72" s="350">
        <f t="shared" si="13"/>
        <v>0</v>
      </c>
      <c r="G72" s="349">
        <f t="shared" si="13"/>
        <v>0</v>
      </c>
      <c r="H72" s="350">
        <f t="shared" si="13"/>
        <v>0</v>
      </c>
      <c r="I72" s="38">
        <f t="shared" si="8"/>
        <v>0</v>
      </c>
      <c r="J72" s="405" t="str">
        <f t="shared" ref="J72:J135" si="14">IF(H72=0,"",I72/H72)</f>
        <v/>
      </c>
      <c r="K72" s="707">
        <f>SUM(K73:K74)</f>
        <v>2000</v>
      </c>
      <c r="L72" s="353"/>
      <c r="M72" s="354"/>
      <c r="N72" s="354"/>
      <c r="O72" s="354"/>
      <c r="P72" s="354"/>
      <c r="Q72" s="354"/>
      <c r="R72" s="354"/>
      <c r="S72" s="354"/>
      <c r="T72" s="354"/>
      <c r="U72" s="354"/>
      <c r="V72" s="354"/>
      <c r="W72" s="354"/>
    </row>
    <row r="73" spans="1:23" ht="11.25" customHeight="1" x14ac:dyDescent="0.25">
      <c r="A73" s="30" t="str">
        <f>'Org structure'!E108</f>
        <v>10.1 - FX001001005001 - Buildings Maintenance (Community and Social Services) - AB</v>
      </c>
      <c r="B73" s="197"/>
      <c r="C73" s="708">
        <f>'C5Q'!B72</f>
        <v>0</v>
      </c>
      <c r="D73" s="703">
        <f>'C5Q'!C72</f>
        <v>2000</v>
      </c>
      <c r="E73" s="352">
        <f>'C5Q'!D72</f>
        <v>2000</v>
      </c>
      <c r="F73" s="352">
        <f>'C5Q'!E72</f>
        <v>0</v>
      </c>
      <c r="G73" s="352">
        <f>'C5Q'!F72</f>
        <v>0</v>
      </c>
      <c r="H73" s="352">
        <f>'C5Q'!G72</f>
        <v>0</v>
      </c>
      <c r="I73" s="38">
        <f t="shared" si="8"/>
        <v>0</v>
      </c>
      <c r="J73" s="405" t="str">
        <f t="shared" si="14"/>
        <v/>
      </c>
      <c r="K73" s="708">
        <f>'C5Q'!J72</f>
        <v>2000</v>
      </c>
      <c r="L73" s="703">
        <f>'C5Q'!K72</f>
        <v>0</v>
      </c>
      <c r="M73" s="352">
        <f>'C5Q'!L72</f>
        <v>0</v>
      </c>
      <c r="N73" s="352" t="str">
        <f>'C5Q'!M72</f>
        <v>10.1 - FX001001005001 - Buildings Maintenance - AB</v>
      </c>
      <c r="O73" s="352">
        <f>'C5Q'!N72</f>
        <v>0</v>
      </c>
      <c r="P73" s="352">
        <f>'C5Q'!O72</f>
        <v>0</v>
      </c>
      <c r="Q73" s="352">
        <f>'C5Q'!P72</f>
        <v>0</v>
      </c>
      <c r="R73" s="352">
        <f>'C5Q'!Q72</f>
        <v>0</v>
      </c>
      <c r="S73" s="352">
        <f>'C5Q'!R72</f>
        <v>0</v>
      </c>
      <c r="T73" s="352">
        <f>'C5Q'!S72</f>
        <v>0</v>
      </c>
      <c r="U73" s="352">
        <f>'C5Q'!T72</f>
        <v>0</v>
      </c>
      <c r="V73" s="352">
        <f>'C5Q'!U72</f>
        <v>0</v>
      </c>
      <c r="W73" s="352">
        <f>'C5Q'!V72</f>
        <v>0</v>
      </c>
    </row>
    <row r="74" spans="1:23" ht="11.25" customHeight="1" x14ac:dyDescent="0.25">
      <c r="A74" s="30" t="str">
        <f>'Org structure'!E109</f>
        <v>10.2 - FX010001007002 - Project Management Unit - Asset Management (Planning and Development) - CF</v>
      </c>
      <c r="B74" s="197"/>
      <c r="C74" s="708">
        <f>'C5Q'!B73</f>
        <v>0</v>
      </c>
      <c r="D74" s="703">
        <f>'C5Q'!C73</f>
        <v>0</v>
      </c>
      <c r="E74" s="352">
        <f>'C5Q'!D73</f>
        <v>0</v>
      </c>
      <c r="F74" s="352">
        <f>'C5Q'!E73</f>
        <v>0</v>
      </c>
      <c r="G74" s="352">
        <f>'C5Q'!F73</f>
        <v>0</v>
      </c>
      <c r="H74" s="352">
        <f>'C5Q'!G73</f>
        <v>0</v>
      </c>
      <c r="I74" s="38">
        <f t="shared" si="8"/>
        <v>0</v>
      </c>
      <c r="J74" s="405" t="str">
        <f t="shared" si="14"/>
        <v/>
      </c>
      <c r="K74" s="708">
        <f>'C5Q'!J73</f>
        <v>0</v>
      </c>
      <c r="L74" s="703">
        <f>'C5Q'!K73</f>
        <v>0</v>
      </c>
      <c r="M74" s="352">
        <f>'C5Q'!L73</f>
        <v>0</v>
      </c>
      <c r="N74" s="352" t="str">
        <f>'C5Q'!M73</f>
        <v>10.2 - FX010001007002 - Project Management Unit - CF</v>
      </c>
      <c r="O74" s="352">
        <f>'C5Q'!N73</f>
        <v>0</v>
      </c>
      <c r="P74" s="352">
        <f>'C5Q'!O73</f>
        <v>0</v>
      </c>
      <c r="Q74" s="352">
        <f>'C5Q'!P73</f>
        <v>0</v>
      </c>
      <c r="R74" s="352">
        <f>'C5Q'!Q73</f>
        <v>0</v>
      </c>
      <c r="S74" s="352">
        <f>'C5Q'!R73</f>
        <v>0</v>
      </c>
      <c r="T74" s="352">
        <f>'C5Q'!S73</f>
        <v>0</v>
      </c>
      <c r="U74" s="352">
        <f>'C5Q'!T73</f>
        <v>0</v>
      </c>
      <c r="V74" s="352">
        <f>'C5Q'!U73</f>
        <v>0</v>
      </c>
      <c r="W74" s="352">
        <f>'C5Q'!V73</f>
        <v>0</v>
      </c>
    </row>
    <row r="75" spans="1:23" ht="11.25" customHeight="1" x14ac:dyDescent="0.25">
      <c r="A75" s="66" t="str">
        <f>'Org structure'!A12</f>
        <v>Vote 11 - INFRASTRUCTURE SERVICES - CIVIL ENGINEERING SERVICES</v>
      </c>
      <c r="B75" s="197"/>
      <c r="C75" s="707">
        <f>SUM(C76:C88)</f>
        <v>497586654.89999998</v>
      </c>
      <c r="D75" s="350">
        <f t="shared" ref="D75:K75" si="15">SUM(D76:D88)</f>
        <v>333721700</v>
      </c>
      <c r="E75" s="348">
        <f t="shared" si="15"/>
        <v>326713300</v>
      </c>
      <c r="F75" s="348">
        <f t="shared" si="15"/>
        <v>-22709150.57</v>
      </c>
      <c r="G75" s="348">
        <f t="shared" si="15"/>
        <v>248564004.41000003</v>
      </c>
      <c r="H75" s="348">
        <f t="shared" si="15"/>
        <v>312401191.49000001</v>
      </c>
      <c r="I75" s="38">
        <f t="shared" si="8"/>
        <v>-63837187.079999983</v>
      </c>
      <c r="J75" s="405">
        <f t="shared" si="14"/>
        <v>-0.20434360949626346</v>
      </c>
      <c r="K75" s="707">
        <f t="shared" si="15"/>
        <v>326713300</v>
      </c>
      <c r="L75" s="353"/>
      <c r="M75" s="354"/>
      <c r="N75" s="354"/>
      <c r="O75" s="354"/>
      <c r="P75" s="354"/>
      <c r="Q75" s="354"/>
      <c r="R75" s="354"/>
      <c r="S75" s="354"/>
      <c r="T75" s="354"/>
      <c r="U75" s="354"/>
      <c r="V75" s="354"/>
      <c r="W75" s="354"/>
    </row>
    <row r="76" spans="1:23" ht="11.25" customHeight="1" x14ac:dyDescent="0.25">
      <c r="A76" s="30" t="str">
        <f>'Org structure'!E119</f>
        <v>11.1 - FX012001004001 - Roads - Railway Sidings (Road Transport) - CM</v>
      </c>
      <c r="B76" s="197"/>
      <c r="C76" s="708">
        <f>'C5Q'!B75</f>
        <v>0</v>
      </c>
      <c r="D76" s="703">
        <f>'C5Q'!C75</f>
        <v>0</v>
      </c>
      <c r="E76" s="352">
        <f>'C5Q'!D75</f>
        <v>0</v>
      </c>
      <c r="F76" s="352">
        <f>'C5Q'!E75</f>
        <v>0</v>
      </c>
      <c r="G76" s="352">
        <f>'C5Q'!F75</f>
        <v>0</v>
      </c>
      <c r="H76" s="352">
        <f>'C5Q'!G75</f>
        <v>0</v>
      </c>
      <c r="I76" s="38">
        <f t="shared" si="8"/>
        <v>0</v>
      </c>
      <c r="J76" s="405" t="str">
        <f t="shared" si="14"/>
        <v/>
      </c>
      <c r="K76" s="708">
        <f>'C5Q'!J75</f>
        <v>0</v>
      </c>
      <c r="L76" s="353"/>
      <c r="M76" s="354"/>
      <c r="N76" s="354"/>
      <c r="O76" s="354"/>
      <c r="P76" s="354"/>
      <c r="Q76" s="354"/>
      <c r="R76" s="354"/>
      <c r="S76" s="354"/>
      <c r="T76" s="354"/>
      <c r="U76" s="354"/>
      <c r="V76" s="354"/>
      <c r="W76" s="354"/>
    </row>
    <row r="77" spans="1:23" ht="11.25" customHeight="1" x14ac:dyDescent="0.25">
      <c r="A77" s="30" t="str">
        <f>'Org structure'!E120</f>
        <v>11.2 - FX012001004002 - Roads - Urban Roads (Road Transport) - CN</v>
      </c>
      <c r="B77" s="197"/>
      <c r="C77" s="708">
        <f>'C5Q'!B76</f>
        <v>104380477.98</v>
      </c>
      <c r="D77" s="703">
        <f>'C5Q'!C76</f>
        <v>44739000</v>
      </c>
      <c r="E77" s="352">
        <f>'C5Q'!D76</f>
        <v>67057000</v>
      </c>
      <c r="F77" s="352">
        <f>'C5Q'!E76</f>
        <v>20987.79</v>
      </c>
      <c r="G77" s="352">
        <f>'C5Q'!F76</f>
        <v>58380683.219999999</v>
      </c>
      <c r="H77" s="352">
        <f>'C5Q'!G76</f>
        <v>73957359.290000007</v>
      </c>
      <c r="I77" s="38">
        <f t="shared" si="8"/>
        <v>-15576676.070000008</v>
      </c>
      <c r="J77" s="405">
        <f t="shared" si="14"/>
        <v>-0.21061698551081415</v>
      </c>
      <c r="K77" s="708">
        <f>'C5Q'!J76</f>
        <v>67057000</v>
      </c>
      <c r="L77" s="353"/>
      <c r="M77" s="354"/>
      <c r="N77" s="354"/>
      <c r="O77" s="354"/>
      <c r="P77" s="354"/>
      <c r="Q77" s="354"/>
      <c r="R77" s="354"/>
      <c r="S77" s="354"/>
      <c r="T77" s="354"/>
      <c r="U77" s="354"/>
      <c r="V77" s="354"/>
      <c r="W77" s="354"/>
    </row>
    <row r="78" spans="1:23" ht="11.25" customHeight="1" x14ac:dyDescent="0.25">
      <c r="A78" s="30" t="str">
        <f>'Org structure'!E121</f>
        <v>11.3 - FX012001004003 - Roads - Rural Roads (Road Transport) - CO</v>
      </c>
      <c r="B78" s="197"/>
      <c r="C78" s="708">
        <f>'C5Q'!B77</f>
        <v>7600610.6399999997</v>
      </c>
      <c r="D78" s="703">
        <f>'C5Q'!C77</f>
        <v>9259000</v>
      </c>
      <c r="E78" s="352">
        <f>'C5Q'!D77</f>
        <v>14259000</v>
      </c>
      <c r="F78" s="352">
        <f>'C5Q'!E77</f>
        <v>290845.84999999998</v>
      </c>
      <c r="G78" s="352">
        <f>'C5Q'!F77</f>
        <v>6991556.7400000002</v>
      </c>
      <c r="H78" s="352">
        <f>'C5Q'!G77</f>
        <v>9000000</v>
      </c>
      <c r="I78" s="38">
        <f t="shared" si="8"/>
        <v>-2008443.2599999998</v>
      </c>
      <c r="J78" s="405">
        <f t="shared" si="14"/>
        <v>-0.22316036222222219</v>
      </c>
      <c r="K78" s="708">
        <f>'C5Q'!J77</f>
        <v>14259000</v>
      </c>
      <c r="L78" s="353"/>
      <c r="M78" s="354"/>
      <c r="N78" s="354"/>
      <c r="O78" s="354"/>
      <c r="P78" s="354"/>
      <c r="Q78" s="354"/>
      <c r="R78" s="354"/>
      <c r="S78" s="354"/>
      <c r="T78" s="354"/>
      <c r="U78" s="354"/>
      <c r="V78" s="354"/>
      <c r="W78" s="354"/>
    </row>
    <row r="79" spans="1:23" ht="11.25" customHeight="1" x14ac:dyDescent="0.25">
      <c r="A79" s="30" t="str">
        <f>'Org structure'!E122</f>
        <v>11.4 - FX015001003 - Storm Water Management (Waste Water Management) - DJ</v>
      </c>
      <c r="B79" s="197"/>
      <c r="C79" s="708">
        <f>'C5Q'!B78</f>
        <v>3999895.52</v>
      </c>
      <c r="D79" s="703">
        <f>'C5Q'!C78</f>
        <v>13715000</v>
      </c>
      <c r="E79" s="352">
        <f>'C5Q'!D78</f>
        <v>22915000</v>
      </c>
      <c r="F79" s="352">
        <f>'C5Q'!E78</f>
        <v>803590.55</v>
      </c>
      <c r="G79" s="352">
        <f>'C5Q'!F78</f>
        <v>31739077.949999999</v>
      </c>
      <c r="H79" s="352">
        <f>'C5Q'!G78</f>
        <v>25369970.899999999</v>
      </c>
      <c r="I79" s="38">
        <f t="shared" si="8"/>
        <v>6369107.0500000007</v>
      </c>
      <c r="J79" s="405">
        <f t="shared" si="14"/>
        <v>0.25104904830616109</v>
      </c>
      <c r="K79" s="708">
        <f>'C5Q'!J78</f>
        <v>22915000</v>
      </c>
      <c r="L79" s="353"/>
      <c r="M79" s="354"/>
      <c r="N79" s="354"/>
      <c r="O79" s="354"/>
      <c r="P79" s="354"/>
      <c r="Q79" s="354"/>
      <c r="R79" s="354"/>
      <c r="S79" s="354"/>
      <c r="T79" s="354"/>
      <c r="U79" s="354"/>
      <c r="V79" s="354"/>
      <c r="W79" s="354"/>
    </row>
    <row r="80" spans="1:23" ht="11.25" customHeight="1" x14ac:dyDescent="0.25">
      <c r="A80" s="30" t="str">
        <f>'Org structure'!E123</f>
        <v>11.5 - FX003001002 - Coastal Protection (Environmental Protection) - DU</v>
      </c>
      <c r="B80" s="197"/>
      <c r="C80" s="708">
        <f>'C5Q'!B79</f>
        <v>0</v>
      </c>
      <c r="D80" s="703">
        <f>'C5Q'!C79</f>
        <v>0</v>
      </c>
      <c r="E80" s="352">
        <f>'C5Q'!D79</f>
        <v>0</v>
      </c>
      <c r="F80" s="352">
        <f>'C5Q'!E79</f>
        <v>0</v>
      </c>
      <c r="G80" s="352">
        <f>'C5Q'!F79</f>
        <v>0</v>
      </c>
      <c r="H80" s="352">
        <f>'C5Q'!G79</f>
        <v>0</v>
      </c>
      <c r="I80" s="38">
        <f t="shared" si="8"/>
        <v>0</v>
      </c>
      <c r="J80" s="405" t="str">
        <f t="shared" si="14"/>
        <v/>
      </c>
      <c r="K80" s="708">
        <f>'C5Q'!J79</f>
        <v>0</v>
      </c>
      <c r="L80" s="353"/>
      <c r="M80" s="354"/>
      <c r="N80" s="354"/>
      <c r="O80" s="354"/>
      <c r="P80" s="354"/>
      <c r="Q80" s="354"/>
      <c r="R80" s="354"/>
      <c r="S80" s="354"/>
      <c r="T80" s="354"/>
      <c r="U80" s="354"/>
      <c r="V80" s="354"/>
      <c r="W80" s="354"/>
    </row>
    <row r="81" spans="1:23" ht="11.25" customHeight="1" x14ac:dyDescent="0.25">
      <c r="A81" s="30" t="str">
        <f>'Org structure'!E124</f>
        <v>11.6 - FX015001002001 - Sewerage - Industrial Effluent Pipeline (Waste Water Management) - DG</v>
      </c>
      <c r="B81" s="197"/>
      <c r="C81" s="708">
        <f>'C5Q'!B80</f>
        <v>0</v>
      </c>
      <c r="D81" s="703">
        <f>'C5Q'!C80</f>
        <v>0</v>
      </c>
      <c r="E81" s="352">
        <f>'C5Q'!D80</f>
        <v>0</v>
      </c>
      <c r="F81" s="352">
        <f>'C5Q'!E80</f>
        <v>0</v>
      </c>
      <c r="G81" s="352">
        <f>'C5Q'!F80</f>
        <v>0</v>
      </c>
      <c r="H81" s="352">
        <f>'C5Q'!G80</f>
        <v>0</v>
      </c>
      <c r="I81" s="38">
        <f t="shared" si="8"/>
        <v>0</v>
      </c>
      <c r="J81" s="405" t="str">
        <f t="shared" si="14"/>
        <v/>
      </c>
      <c r="K81" s="708">
        <f>'C5Q'!J80</f>
        <v>0</v>
      </c>
      <c r="L81" s="353"/>
      <c r="M81" s="354"/>
      <c r="N81" s="354"/>
      <c r="O81" s="354"/>
      <c r="P81" s="354"/>
      <c r="Q81" s="354"/>
      <c r="R81" s="354"/>
      <c r="S81" s="354"/>
      <c r="T81" s="354"/>
      <c r="U81" s="354"/>
      <c r="V81" s="354"/>
      <c r="W81" s="354"/>
    </row>
    <row r="82" spans="1:23" ht="11.25" customHeight="1" x14ac:dyDescent="0.25">
      <c r="A82" s="30" t="str">
        <f>'Org structure'!E125</f>
        <v>11.7 - FX015001002002 - Sewerage - Pumpstations (Waste Water Management) - DH</v>
      </c>
      <c r="B82" s="197"/>
      <c r="C82" s="708">
        <f>'C5Q'!B81</f>
        <v>43430554.259999998</v>
      </c>
      <c r="D82" s="703">
        <f>'C5Q'!C81</f>
        <v>40000000</v>
      </c>
      <c r="E82" s="352">
        <f>'C5Q'!D81</f>
        <v>36000000</v>
      </c>
      <c r="F82" s="352">
        <f>'C5Q'!E81</f>
        <v>0</v>
      </c>
      <c r="G82" s="352">
        <f>'C5Q'!F81</f>
        <v>34987093.93</v>
      </c>
      <c r="H82" s="352">
        <f>'C5Q'!G81</f>
        <v>34590334.93</v>
      </c>
      <c r="I82" s="38">
        <f t="shared" si="8"/>
        <v>396759</v>
      </c>
      <c r="J82" s="405">
        <f t="shared" si="14"/>
        <v>1.1470227183486829E-2</v>
      </c>
      <c r="K82" s="708">
        <f>'C5Q'!J81</f>
        <v>36000000</v>
      </c>
      <c r="L82" s="353"/>
      <c r="M82" s="354"/>
      <c r="N82" s="354"/>
      <c r="O82" s="354"/>
      <c r="P82" s="354"/>
      <c r="Q82" s="354"/>
      <c r="R82" s="354"/>
      <c r="S82" s="354"/>
      <c r="T82" s="354"/>
      <c r="U82" s="354"/>
      <c r="V82" s="354"/>
      <c r="W82" s="354"/>
    </row>
    <row r="83" spans="1:23" ht="11.25" customHeight="1" x14ac:dyDescent="0.25">
      <c r="A83" s="30" t="str">
        <f>'Org structure'!E126</f>
        <v>11.8 - FX015001002003 - Sewerage - Sewerage Network (Waste Water Management) - DI</v>
      </c>
      <c r="B83" s="197"/>
      <c r="C83" s="708">
        <f>'C5Q'!B82</f>
        <v>28274333.52</v>
      </c>
      <c r="D83" s="703">
        <f>'C5Q'!C82</f>
        <v>4000000</v>
      </c>
      <c r="E83" s="352">
        <f>'C5Q'!D82</f>
        <v>3900100</v>
      </c>
      <c r="F83" s="352">
        <f>'C5Q'!E82</f>
        <v>0</v>
      </c>
      <c r="G83" s="352">
        <f>'C5Q'!F82</f>
        <v>1900051.88</v>
      </c>
      <c r="H83" s="352">
        <f>'C5Q'!G82</f>
        <v>1900051.88</v>
      </c>
      <c r="I83" s="38">
        <f t="shared" si="8"/>
        <v>0</v>
      </c>
      <c r="J83" s="405">
        <f t="shared" si="14"/>
        <v>0</v>
      </c>
      <c r="K83" s="708">
        <f>'C5Q'!J82</f>
        <v>3900100</v>
      </c>
      <c r="L83" s="353"/>
      <c r="M83" s="354"/>
      <c r="N83" s="354"/>
      <c r="O83" s="354"/>
      <c r="P83" s="354"/>
      <c r="Q83" s="354"/>
      <c r="R83" s="354"/>
      <c r="S83" s="354"/>
      <c r="T83" s="354"/>
      <c r="U83" s="354"/>
      <c r="V83" s="354"/>
      <c r="W83" s="354"/>
    </row>
    <row r="84" spans="1:23" ht="11.25" customHeight="1" x14ac:dyDescent="0.25">
      <c r="A84" s="30" t="str">
        <f>'Org structure'!E127</f>
        <v>11.9 - FX015001004 - Treatment (Waste Water Management) - DK</v>
      </c>
      <c r="B84" s="197"/>
      <c r="C84" s="708">
        <f>'C5Q'!B83</f>
        <v>21513075.210000001</v>
      </c>
      <c r="D84" s="703">
        <f>'C5Q'!C83</f>
        <v>3000000</v>
      </c>
      <c r="E84" s="352">
        <f>'C5Q'!D83</f>
        <v>3000000</v>
      </c>
      <c r="F84" s="352">
        <f>'C5Q'!E83</f>
        <v>0</v>
      </c>
      <c r="G84" s="352">
        <f>'C5Q'!F83</f>
        <v>0</v>
      </c>
      <c r="H84" s="352">
        <f>'C5Q'!G83</f>
        <v>0</v>
      </c>
      <c r="I84" s="38">
        <f t="shared" si="8"/>
        <v>0</v>
      </c>
      <c r="J84" s="405" t="str">
        <f t="shared" si="14"/>
        <v/>
      </c>
      <c r="K84" s="708">
        <f>'C5Q'!J83</f>
        <v>3000000</v>
      </c>
      <c r="L84" s="353"/>
      <c r="M84" s="354"/>
      <c r="N84" s="354"/>
      <c r="O84" s="354"/>
      <c r="P84" s="354"/>
      <c r="Q84" s="354"/>
      <c r="R84" s="354"/>
      <c r="S84" s="354"/>
      <c r="T84" s="354"/>
      <c r="U84" s="354"/>
      <c r="V84" s="354"/>
      <c r="W84" s="354"/>
    </row>
    <row r="85" spans="1:23" ht="11.25" customHeight="1" x14ac:dyDescent="0.25">
      <c r="A85" s="30" t="str">
        <f>'Org structure'!E128</f>
        <v>11.10 - FX016001002004 - Water Distribution (Clarified Water) - DP</v>
      </c>
      <c r="B85" s="197"/>
      <c r="C85" s="708">
        <f>'C5Q'!B84</f>
        <v>0</v>
      </c>
      <c r="D85" s="703">
        <f>'C5Q'!C84</f>
        <v>0</v>
      </c>
      <c r="E85" s="352">
        <f>'C5Q'!D84</f>
        <v>0</v>
      </c>
      <c r="F85" s="352">
        <f>'C5Q'!E84</f>
        <v>0</v>
      </c>
      <c r="G85" s="352">
        <f>'C5Q'!F84</f>
        <v>0</v>
      </c>
      <c r="H85" s="352">
        <f>'C5Q'!G84</f>
        <v>0</v>
      </c>
      <c r="I85" s="38">
        <f t="shared" si="8"/>
        <v>0</v>
      </c>
      <c r="J85" s="405" t="str">
        <f t="shared" si="14"/>
        <v/>
      </c>
      <c r="K85" s="708">
        <f>'C5Q'!J84</f>
        <v>0</v>
      </c>
      <c r="L85" s="353"/>
      <c r="M85" s="354"/>
      <c r="N85" s="354"/>
      <c r="O85" s="354"/>
      <c r="P85" s="354"/>
      <c r="Q85" s="354"/>
      <c r="R85" s="354"/>
      <c r="S85" s="354"/>
      <c r="T85" s="354"/>
      <c r="U85" s="354"/>
      <c r="V85" s="354"/>
      <c r="W85" s="354"/>
    </row>
    <row r="86" spans="1:23" ht="11.25" customHeight="1" x14ac:dyDescent="0.25">
      <c r="A86" s="30" t="str">
        <f>'Org structure'!E129</f>
        <v>11.11 - FX016001002005 - Water Distibution (Purification Works) - DQ</v>
      </c>
      <c r="B86" s="197"/>
      <c r="C86" s="708">
        <f>'C5Q'!B85</f>
        <v>11023363.48</v>
      </c>
      <c r="D86" s="703">
        <f>'C5Q'!C85</f>
        <v>1000000</v>
      </c>
      <c r="E86" s="352">
        <f>'C5Q'!D85</f>
        <v>1000000</v>
      </c>
      <c r="F86" s="352">
        <f>'C5Q'!E85</f>
        <v>0</v>
      </c>
      <c r="G86" s="352">
        <f>'C5Q'!F85</f>
        <v>0</v>
      </c>
      <c r="H86" s="352">
        <f>'C5Q'!G85</f>
        <v>0</v>
      </c>
      <c r="I86" s="38">
        <f t="shared" si="8"/>
        <v>0</v>
      </c>
      <c r="J86" s="405" t="str">
        <f t="shared" si="14"/>
        <v/>
      </c>
      <c r="K86" s="708">
        <f>'C5Q'!J85</f>
        <v>1000000</v>
      </c>
      <c r="L86" s="353"/>
      <c r="M86" s="354"/>
      <c r="N86" s="354"/>
      <c r="O86" s="354"/>
      <c r="P86" s="354"/>
      <c r="Q86" s="354"/>
      <c r="R86" s="354"/>
      <c r="S86" s="354"/>
      <c r="T86" s="354"/>
      <c r="U86" s="354"/>
      <c r="V86" s="354"/>
      <c r="W86" s="354"/>
    </row>
    <row r="87" spans="1:23" ht="11.25" customHeight="1" x14ac:dyDescent="0.25">
      <c r="A87" s="30" t="str">
        <f>'Org structure'!E130</f>
        <v>11.12 - FX016001002001 - Water Distribution - Rural Water (Water Management) - DM</v>
      </c>
      <c r="B87" s="197"/>
      <c r="C87" s="708">
        <f>'C5Q'!B86</f>
        <v>32992408.870000001</v>
      </c>
      <c r="D87" s="703">
        <f>'C5Q'!C86</f>
        <v>18419000</v>
      </c>
      <c r="E87" s="352">
        <f>'C5Q'!D86</f>
        <v>21338000</v>
      </c>
      <c r="F87" s="352">
        <f>'C5Q'!E86</f>
        <v>0</v>
      </c>
      <c r="G87" s="352">
        <f>'C5Q'!F86</f>
        <v>14460671.24</v>
      </c>
      <c r="H87" s="352">
        <f>'C5Q'!G86</f>
        <v>17619037.91</v>
      </c>
      <c r="I87" s="38">
        <f t="shared" si="8"/>
        <v>-3158366.67</v>
      </c>
      <c r="J87" s="405">
        <f t="shared" si="14"/>
        <v>-0.17925874761909744</v>
      </c>
      <c r="K87" s="708">
        <f>'C5Q'!J86</f>
        <v>21338000</v>
      </c>
      <c r="L87" s="353"/>
      <c r="M87" s="354"/>
      <c r="N87" s="354"/>
      <c r="O87" s="354"/>
      <c r="P87" s="354"/>
      <c r="Q87" s="354"/>
      <c r="R87" s="354"/>
      <c r="S87" s="354"/>
      <c r="T87" s="354"/>
      <c r="U87" s="354"/>
      <c r="V87" s="354"/>
      <c r="W87" s="354"/>
    </row>
    <row r="88" spans="1:23" ht="11.25" customHeight="1" x14ac:dyDescent="0.25">
      <c r="A88" s="30" t="str">
        <f>'Org structure'!E131</f>
        <v>11.13 - FX016001002002 - Water Distribution - Urban Water (Water Management) - DN</v>
      </c>
      <c r="B88" s="197"/>
      <c r="C88" s="708">
        <f>'C5Q'!B87</f>
        <v>244371935.41999999</v>
      </c>
      <c r="D88" s="703">
        <f>'C5Q'!C87</f>
        <v>199589700</v>
      </c>
      <c r="E88" s="352">
        <f>'C5Q'!D87</f>
        <v>157244200</v>
      </c>
      <c r="F88" s="352">
        <f>'C5Q'!E87</f>
        <v>-23824574.760000002</v>
      </c>
      <c r="G88" s="352">
        <f>'C5Q'!F87</f>
        <v>100104869.45</v>
      </c>
      <c r="H88" s="352">
        <f>'C5Q'!G87</f>
        <v>149964436.58000001</v>
      </c>
      <c r="I88" s="38">
        <f t="shared" si="8"/>
        <v>-49859567.13000001</v>
      </c>
      <c r="J88" s="405">
        <f t="shared" si="14"/>
        <v>-0.33247594074347042</v>
      </c>
      <c r="K88" s="708">
        <f>'C5Q'!J87</f>
        <v>157244200</v>
      </c>
      <c r="L88" s="353"/>
      <c r="M88" s="354"/>
      <c r="N88" s="354"/>
      <c r="O88" s="354"/>
      <c r="P88" s="354"/>
      <c r="Q88" s="354"/>
      <c r="R88" s="354"/>
      <c r="S88" s="354"/>
      <c r="T88" s="354"/>
      <c r="U88" s="354"/>
      <c r="V88" s="354"/>
      <c r="W88" s="354"/>
    </row>
    <row r="89" spans="1:23" ht="11.25" customHeight="1" x14ac:dyDescent="0.25">
      <c r="A89" s="66" t="str">
        <f>'Org structure'!A16</f>
        <v>Vote 12 - INFRASTRUCTURE SERVICES - ENGINEERING SERVICES</v>
      </c>
      <c r="B89" s="197"/>
      <c r="C89" s="707">
        <f t="shared" ref="C89:H89" si="16">SUM(C90:C91)</f>
        <v>0</v>
      </c>
      <c r="D89" s="723">
        <f t="shared" si="16"/>
        <v>0</v>
      </c>
      <c r="E89" s="349">
        <f t="shared" si="16"/>
        <v>0</v>
      </c>
      <c r="F89" s="350">
        <f t="shared" si="16"/>
        <v>0</v>
      </c>
      <c r="G89" s="349">
        <f t="shared" si="16"/>
        <v>0</v>
      </c>
      <c r="H89" s="350">
        <f t="shared" si="16"/>
        <v>0</v>
      </c>
      <c r="I89" s="38">
        <f t="shared" si="8"/>
        <v>0</v>
      </c>
      <c r="J89" s="405" t="str">
        <f t="shared" si="14"/>
        <v/>
      </c>
      <c r="K89" s="707">
        <f>SUM(K90:K91)</f>
        <v>0</v>
      </c>
      <c r="L89" s="353"/>
      <c r="M89" s="354"/>
      <c r="N89" s="354"/>
      <c r="O89" s="354"/>
      <c r="P89" s="354"/>
      <c r="Q89" s="354"/>
      <c r="R89" s="354"/>
      <c r="S89" s="354"/>
      <c r="T89" s="354"/>
      <c r="U89" s="354"/>
      <c r="V89" s="354"/>
      <c r="W89" s="354"/>
    </row>
    <row r="90" spans="1:23" ht="11.25" customHeight="1" x14ac:dyDescent="0.25">
      <c r="A90" s="30" t="str">
        <f>'Org structure'!E133</f>
        <v>12.1 - FX010001007001 - Project Management Unit - Administration (Planning and Development) - CE</v>
      </c>
      <c r="B90" s="197"/>
      <c r="C90" s="708">
        <f>'C5Q'!B89</f>
        <v>0</v>
      </c>
      <c r="D90" s="703">
        <f>'C5Q'!C89</f>
        <v>0</v>
      </c>
      <c r="E90" s="352">
        <f>'C5Q'!D89</f>
        <v>0</v>
      </c>
      <c r="F90" s="352">
        <f>'C5Q'!E89</f>
        <v>0</v>
      </c>
      <c r="G90" s="352">
        <f>'C5Q'!F89</f>
        <v>0</v>
      </c>
      <c r="H90" s="352">
        <f>'C5Q'!G89</f>
        <v>0</v>
      </c>
      <c r="I90" s="38">
        <f t="shared" si="8"/>
        <v>0</v>
      </c>
      <c r="J90" s="405" t="str">
        <f t="shared" si="14"/>
        <v/>
      </c>
      <c r="K90" s="708">
        <f>'C5Q'!J89</f>
        <v>0</v>
      </c>
      <c r="L90" s="353"/>
      <c r="M90" s="354"/>
      <c r="N90" s="354"/>
      <c r="O90" s="354"/>
      <c r="P90" s="354"/>
      <c r="Q90" s="354"/>
      <c r="R90" s="354"/>
      <c r="S90" s="354"/>
      <c r="T90" s="354"/>
      <c r="U90" s="354"/>
      <c r="V90" s="354"/>
      <c r="W90" s="354"/>
    </row>
    <row r="91" spans="1:23" ht="11.25" customHeight="1" x14ac:dyDescent="0.25">
      <c r="A91" s="30" t="str">
        <f>'Org structure'!E134</f>
        <v>12.2 - FX010001007005 - Project Management Unit - PMU (Planning and Development) - CI</v>
      </c>
      <c r="B91" s="197"/>
      <c r="C91" s="708">
        <f>'C5Q'!B90</f>
        <v>0</v>
      </c>
      <c r="D91" s="703">
        <f>'C5Q'!C90</f>
        <v>0</v>
      </c>
      <c r="E91" s="352">
        <f>'C5Q'!D90</f>
        <v>0</v>
      </c>
      <c r="F91" s="352">
        <f>'C5Q'!E90</f>
        <v>0</v>
      </c>
      <c r="G91" s="352">
        <f>'C5Q'!F90</f>
        <v>0</v>
      </c>
      <c r="H91" s="352">
        <f>'C5Q'!G90</f>
        <v>0</v>
      </c>
      <c r="I91" s="38">
        <f t="shared" si="8"/>
        <v>0</v>
      </c>
      <c r="J91" s="405" t="str">
        <f t="shared" si="14"/>
        <v/>
      </c>
      <c r="K91" s="708">
        <f>'C5Q'!J90</f>
        <v>0</v>
      </c>
      <c r="L91" s="353"/>
      <c r="M91" s="354"/>
      <c r="N91" s="354"/>
      <c r="O91" s="354"/>
      <c r="P91" s="354"/>
      <c r="Q91" s="354"/>
      <c r="R91" s="354"/>
      <c r="S91" s="354"/>
      <c r="T91" s="354"/>
      <c r="U91" s="354"/>
      <c r="V91" s="354"/>
      <c r="W91" s="354"/>
    </row>
    <row r="92" spans="1:23" ht="11.25" customHeight="1" x14ac:dyDescent="0.25">
      <c r="A92" s="66" t="str">
        <f>'Org structure'!A17</f>
        <v>Vote 13 - OFFICE OF THE MUNICIPAL MANAGER</v>
      </c>
      <c r="B92" s="197"/>
      <c r="C92" s="707">
        <f>SUM(C93:C105)</f>
        <v>15802.49</v>
      </c>
      <c r="D92" s="350">
        <f t="shared" ref="D92:K92" si="17">SUM(D93:D105)</f>
        <v>23000</v>
      </c>
      <c r="E92" s="348">
        <f t="shared" si="17"/>
        <v>0</v>
      </c>
      <c r="F92" s="348">
        <f t="shared" si="17"/>
        <v>0</v>
      </c>
      <c r="G92" s="348">
        <f t="shared" si="17"/>
        <v>0</v>
      </c>
      <c r="H92" s="348">
        <f t="shared" si="17"/>
        <v>0</v>
      </c>
      <c r="I92" s="38">
        <f t="shared" si="8"/>
        <v>0</v>
      </c>
      <c r="J92" s="405" t="str">
        <f t="shared" si="14"/>
        <v/>
      </c>
      <c r="K92" s="707">
        <f t="shared" si="17"/>
        <v>0</v>
      </c>
      <c r="L92" s="353"/>
      <c r="M92" s="354"/>
      <c r="N92" s="354"/>
      <c r="O92" s="354"/>
      <c r="P92" s="354"/>
      <c r="Q92" s="354"/>
      <c r="R92" s="354"/>
      <c r="S92" s="354"/>
      <c r="T92" s="354"/>
      <c r="U92" s="354"/>
      <c r="V92" s="354"/>
      <c r="W92" s="354"/>
    </row>
    <row r="93" spans="1:23" ht="11.25" customHeight="1" x14ac:dyDescent="0.25">
      <c r="A93" s="30" t="str">
        <f>'Org structure'!E144</f>
        <v>13.1 - FX004001001001 - Mayor and Council (Executive and Council) - AS</v>
      </c>
      <c r="B93" s="197"/>
      <c r="C93" s="708">
        <f>'C5Q'!B92</f>
        <v>0</v>
      </c>
      <c r="D93" s="703">
        <f>'C5Q'!C92</f>
        <v>0</v>
      </c>
      <c r="E93" s="352">
        <f>'C5Q'!D92</f>
        <v>0</v>
      </c>
      <c r="F93" s="352">
        <f>'C5Q'!E92</f>
        <v>0</v>
      </c>
      <c r="G93" s="352">
        <f>'C5Q'!F92</f>
        <v>0</v>
      </c>
      <c r="H93" s="352">
        <f>'C5Q'!G92</f>
        <v>0</v>
      </c>
      <c r="I93" s="38">
        <f t="shared" ref="I93:I112" si="18">G93-H93</f>
        <v>0</v>
      </c>
      <c r="J93" s="405" t="str">
        <f t="shared" si="14"/>
        <v/>
      </c>
      <c r="K93" s="708">
        <f>'C5Q'!J92</f>
        <v>0</v>
      </c>
      <c r="L93" s="353"/>
      <c r="M93" s="354"/>
      <c r="N93" s="354"/>
      <c r="O93" s="354"/>
      <c r="P93" s="354"/>
      <c r="Q93" s="354"/>
      <c r="R93" s="354"/>
      <c r="S93" s="354"/>
      <c r="T93" s="354"/>
      <c r="U93" s="354"/>
      <c r="V93" s="354"/>
      <c r="W93" s="354"/>
    </row>
    <row r="94" spans="1:23" ht="11.25" customHeight="1" x14ac:dyDescent="0.25">
      <c r="A94" s="30" t="str">
        <f>'Org structure'!E145</f>
        <v>13.2 - FX004001002001 - DMM - Corporate Services (Executive and Council) - AU</v>
      </c>
      <c r="B94" s="197"/>
      <c r="C94" s="708">
        <f>'C5Q'!B93</f>
        <v>0</v>
      </c>
      <c r="D94" s="703">
        <f>'C5Q'!C93</f>
        <v>0</v>
      </c>
      <c r="E94" s="352">
        <f>'C5Q'!D93</f>
        <v>0</v>
      </c>
      <c r="F94" s="352">
        <f>'C5Q'!E93</f>
        <v>0</v>
      </c>
      <c r="G94" s="352">
        <f>'C5Q'!F93</f>
        <v>0</v>
      </c>
      <c r="H94" s="352">
        <f>'C5Q'!G93</f>
        <v>0</v>
      </c>
      <c r="I94" s="38">
        <f t="shared" si="18"/>
        <v>0</v>
      </c>
      <c r="J94" s="405" t="str">
        <f t="shared" si="14"/>
        <v/>
      </c>
      <c r="K94" s="708">
        <f>'C5Q'!J93</f>
        <v>0</v>
      </c>
      <c r="L94" s="353"/>
      <c r="M94" s="354"/>
      <c r="N94" s="354"/>
      <c r="O94" s="354"/>
      <c r="P94" s="354"/>
      <c r="Q94" s="354"/>
      <c r="R94" s="354"/>
      <c r="S94" s="354"/>
      <c r="T94" s="354"/>
      <c r="U94" s="354"/>
      <c r="V94" s="354"/>
      <c r="W94" s="354"/>
    </row>
    <row r="95" spans="1:23" ht="11.25" customHeight="1" x14ac:dyDescent="0.25">
      <c r="A95" s="30" t="str">
        <f>'Org structure'!E146</f>
        <v>13.3 - FX004001002002 - DMM - ITS (Executive and Council) - AV</v>
      </c>
      <c r="B95" s="197"/>
      <c r="C95" s="708">
        <f>'C5Q'!B94</f>
        <v>0</v>
      </c>
      <c r="D95" s="703">
        <f>'C5Q'!C94</f>
        <v>0</v>
      </c>
      <c r="E95" s="352">
        <f>'C5Q'!D94</f>
        <v>0</v>
      </c>
      <c r="F95" s="352">
        <f>'C5Q'!E94</f>
        <v>0</v>
      </c>
      <c r="G95" s="352">
        <f>'C5Q'!F94</f>
        <v>0</v>
      </c>
      <c r="H95" s="352">
        <f>'C5Q'!G94</f>
        <v>0</v>
      </c>
      <c r="I95" s="38">
        <f t="shared" si="18"/>
        <v>0</v>
      </c>
      <c r="J95" s="405" t="str">
        <f t="shared" si="14"/>
        <v/>
      </c>
      <c r="K95" s="708">
        <f>'C5Q'!J94</f>
        <v>0</v>
      </c>
      <c r="L95" s="353"/>
      <c r="M95" s="354"/>
      <c r="N95" s="354"/>
      <c r="O95" s="354"/>
      <c r="P95" s="354"/>
      <c r="Q95" s="354"/>
      <c r="R95" s="354"/>
      <c r="S95" s="354"/>
      <c r="T95" s="354"/>
      <c r="U95" s="354"/>
      <c r="V95" s="354"/>
      <c r="W95" s="354"/>
    </row>
    <row r="96" spans="1:23" ht="11.25" customHeight="1" x14ac:dyDescent="0.25">
      <c r="A96" s="30" t="str">
        <f>'Org structure'!E147</f>
        <v>13.4 - FX004001002003 -  DMM - City Development (Executive and Council) - AW</v>
      </c>
      <c r="B96" s="197"/>
      <c r="C96" s="708">
        <f>'C5Q'!B95</f>
        <v>0</v>
      </c>
      <c r="D96" s="703">
        <f>'C5Q'!C95</f>
        <v>0</v>
      </c>
      <c r="E96" s="352">
        <f>'C5Q'!D95</f>
        <v>0</v>
      </c>
      <c r="F96" s="352">
        <f>'C5Q'!E95</f>
        <v>0</v>
      </c>
      <c r="G96" s="352">
        <f>'C5Q'!F95</f>
        <v>0</v>
      </c>
      <c r="H96" s="352">
        <f>'C5Q'!G95</f>
        <v>0</v>
      </c>
      <c r="I96" s="38">
        <f t="shared" si="18"/>
        <v>0</v>
      </c>
      <c r="J96" s="405" t="str">
        <f t="shared" si="14"/>
        <v/>
      </c>
      <c r="K96" s="708">
        <f>'C5Q'!J95</f>
        <v>0</v>
      </c>
      <c r="L96" s="353"/>
      <c r="M96" s="354"/>
      <c r="N96" s="354"/>
      <c r="O96" s="354"/>
      <c r="P96" s="354"/>
      <c r="Q96" s="354"/>
      <c r="R96" s="354"/>
      <c r="S96" s="354"/>
      <c r="T96" s="354"/>
      <c r="U96" s="354"/>
      <c r="V96" s="354"/>
      <c r="W96" s="354"/>
    </row>
    <row r="97" spans="1:23" ht="11.25" customHeight="1" x14ac:dyDescent="0.25">
      <c r="A97" s="30" t="str">
        <f>'Org structure'!E148</f>
        <v>13.5 - FX004001002004 - DMM - Community Services (Executive and Council) - AX</v>
      </c>
      <c r="B97" s="197"/>
      <c r="C97" s="708">
        <f>'C5Q'!B96</f>
        <v>0</v>
      </c>
      <c r="D97" s="703">
        <f>'C5Q'!C96</f>
        <v>0</v>
      </c>
      <c r="E97" s="352">
        <f>'C5Q'!D96</f>
        <v>0</v>
      </c>
      <c r="F97" s="352">
        <f>'C5Q'!E96</f>
        <v>0</v>
      </c>
      <c r="G97" s="352">
        <f>'C5Q'!F96</f>
        <v>0</v>
      </c>
      <c r="H97" s="352">
        <f>'C5Q'!G96</f>
        <v>0</v>
      </c>
      <c r="I97" s="38">
        <f t="shared" si="18"/>
        <v>0</v>
      </c>
      <c r="J97" s="405" t="str">
        <f t="shared" si="14"/>
        <v/>
      </c>
      <c r="K97" s="708">
        <f>'C5Q'!J96</f>
        <v>0</v>
      </c>
      <c r="L97" s="353"/>
      <c r="M97" s="354"/>
      <c r="N97" s="354"/>
      <c r="O97" s="354"/>
      <c r="P97" s="354"/>
      <c r="Q97" s="354"/>
      <c r="R97" s="354"/>
      <c r="S97" s="354"/>
      <c r="T97" s="354"/>
      <c r="U97" s="354"/>
      <c r="V97" s="354"/>
      <c r="W97" s="354"/>
    </row>
    <row r="98" spans="1:23" ht="11.25" customHeight="1" x14ac:dyDescent="0.25">
      <c r="A98" s="30" t="str">
        <f>'Org structure'!E149</f>
        <v>13.6 - FX004001002005 -  Municipal Manager (Executive and Council) - AY</v>
      </c>
      <c r="B98" s="197"/>
      <c r="C98" s="708">
        <f>'C5Q'!B97</f>
        <v>0</v>
      </c>
      <c r="D98" s="703">
        <f>'C5Q'!C97</f>
        <v>11000</v>
      </c>
      <c r="E98" s="352">
        <f>'C5Q'!D97</f>
        <v>0</v>
      </c>
      <c r="F98" s="352">
        <f>'C5Q'!E97</f>
        <v>0</v>
      </c>
      <c r="G98" s="352">
        <f>'C5Q'!F97</f>
        <v>0</v>
      </c>
      <c r="H98" s="352">
        <f>'C5Q'!G97</f>
        <v>0</v>
      </c>
      <c r="I98" s="38">
        <f t="shared" si="18"/>
        <v>0</v>
      </c>
      <c r="J98" s="405" t="str">
        <f t="shared" si="14"/>
        <v/>
      </c>
      <c r="K98" s="708">
        <f>'C5Q'!J97</f>
        <v>0</v>
      </c>
      <c r="L98" s="353"/>
      <c r="M98" s="354"/>
      <c r="N98" s="354"/>
      <c r="O98" s="354"/>
      <c r="P98" s="354"/>
      <c r="Q98" s="354"/>
      <c r="R98" s="354"/>
      <c r="S98" s="354"/>
      <c r="T98" s="354"/>
      <c r="U98" s="354"/>
      <c r="V98" s="354"/>
      <c r="W98" s="354"/>
    </row>
    <row r="99" spans="1:23" ht="11.25" customHeight="1" x14ac:dyDescent="0.25">
      <c r="A99" s="30" t="str">
        <f>'Org structure'!E150</f>
        <v>13.7 - FX004001002007 - Performance Management (Executive and Council) - BA</v>
      </c>
      <c r="B99" s="197"/>
      <c r="C99" s="708">
        <f>'C5Q'!B98</f>
        <v>0</v>
      </c>
      <c r="D99" s="703">
        <f>'C5Q'!C98</f>
        <v>0</v>
      </c>
      <c r="E99" s="352">
        <f>'C5Q'!D98</f>
        <v>0</v>
      </c>
      <c r="F99" s="352">
        <f>'C5Q'!E98</f>
        <v>0</v>
      </c>
      <c r="G99" s="352">
        <f>'C5Q'!F98</f>
        <v>0</v>
      </c>
      <c r="H99" s="352">
        <f>'C5Q'!G98</f>
        <v>0</v>
      </c>
      <c r="I99" s="38">
        <f t="shared" si="18"/>
        <v>0</v>
      </c>
      <c r="J99" s="405" t="str">
        <f t="shared" si="14"/>
        <v/>
      </c>
      <c r="K99" s="708">
        <f>'C5Q'!J98</f>
        <v>0</v>
      </c>
      <c r="L99" s="353"/>
      <c r="M99" s="354"/>
      <c r="N99" s="354"/>
      <c r="O99" s="354"/>
      <c r="P99" s="354"/>
      <c r="Q99" s="354"/>
      <c r="R99" s="354"/>
      <c r="S99" s="354"/>
      <c r="T99" s="354"/>
      <c r="U99" s="354"/>
      <c r="V99" s="354"/>
      <c r="W99" s="354"/>
    </row>
    <row r="100" spans="1:23" ht="11.25" customHeight="1" x14ac:dyDescent="0.25">
      <c r="A100" s="30" t="str">
        <f>'Org structure'!E151</f>
        <v>13.8 - FX005001009 - Marketing, Customer Relations, Publicity and Media Co-ordination (Finance and Administration) - BM</v>
      </c>
      <c r="B100" s="197"/>
      <c r="C100" s="708">
        <f>'C5Q'!B99</f>
        <v>15802.49</v>
      </c>
      <c r="D100" s="703">
        <f>'C5Q'!C99</f>
        <v>12000</v>
      </c>
      <c r="E100" s="352">
        <f>'C5Q'!D99</f>
        <v>0</v>
      </c>
      <c r="F100" s="352">
        <f>'C5Q'!E99</f>
        <v>0</v>
      </c>
      <c r="G100" s="352">
        <f>'C5Q'!F99</f>
        <v>0</v>
      </c>
      <c r="H100" s="352">
        <f>'C5Q'!G99</f>
        <v>0</v>
      </c>
      <c r="I100" s="38">
        <f t="shared" si="18"/>
        <v>0</v>
      </c>
      <c r="J100" s="405" t="str">
        <f t="shared" si="14"/>
        <v/>
      </c>
      <c r="K100" s="708">
        <f>'C5Q'!J99</f>
        <v>0</v>
      </c>
      <c r="L100" s="353"/>
      <c r="M100" s="354"/>
      <c r="N100" s="354"/>
      <c r="O100" s="354"/>
      <c r="P100" s="354"/>
      <c r="Q100" s="354"/>
      <c r="R100" s="354"/>
      <c r="S100" s="354"/>
      <c r="T100" s="354"/>
      <c r="U100" s="354"/>
      <c r="V100" s="354"/>
      <c r="W100" s="354"/>
    </row>
    <row r="101" spans="1:23" ht="11.25" customHeight="1" x14ac:dyDescent="0.25">
      <c r="A101" s="30" t="str">
        <f>'Org structure'!E152</f>
        <v>13.9 - FX004001002008 - DMM - Chief Operations Officer (Executive and Council) - BC</v>
      </c>
      <c r="B101" s="197"/>
      <c r="C101" s="708">
        <f>'C5Q'!B100</f>
        <v>0</v>
      </c>
      <c r="D101" s="703">
        <f>'C5Q'!C100</f>
        <v>0</v>
      </c>
      <c r="E101" s="352">
        <f>'C5Q'!D100</f>
        <v>0</v>
      </c>
      <c r="F101" s="352">
        <f>'C5Q'!E100</f>
        <v>0</v>
      </c>
      <c r="G101" s="352">
        <f>'C5Q'!F100</f>
        <v>0</v>
      </c>
      <c r="H101" s="352">
        <f>'C5Q'!G100</f>
        <v>0</v>
      </c>
      <c r="I101" s="38">
        <f t="shared" si="18"/>
        <v>0</v>
      </c>
      <c r="J101" s="405" t="str">
        <f t="shared" si="14"/>
        <v/>
      </c>
      <c r="K101" s="708">
        <f>'C5Q'!J100</f>
        <v>0</v>
      </c>
      <c r="L101" s="353"/>
      <c r="M101" s="354"/>
      <c r="N101" s="354"/>
      <c r="O101" s="354"/>
      <c r="P101" s="354"/>
      <c r="Q101" s="354"/>
      <c r="R101" s="354"/>
      <c r="S101" s="354"/>
      <c r="T101" s="354"/>
      <c r="U101" s="354"/>
      <c r="V101" s="354"/>
      <c r="W101" s="354"/>
    </row>
    <row r="102" spans="1:23" ht="11.25" customHeight="1" x14ac:dyDescent="0.25">
      <c r="A102" s="30" t="str">
        <f>'Org structure'!E153</f>
        <v>13.10 - FX005001011 - Risk Management (Finance and Administration) - BO</v>
      </c>
      <c r="B102" s="197"/>
      <c r="C102" s="708">
        <f>'C5Q'!B101</f>
        <v>0</v>
      </c>
      <c r="D102" s="703">
        <f>'C5Q'!C101</f>
        <v>0</v>
      </c>
      <c r="E102" s="352">
        <f>'C5Q'!D101</f>
        <v>0</v>
      </c>
      <c r="F102" s="352">
        <f>'C5Q'!E101</f>
        <v>0</v>
      </c>
      <c r="G102" s="352">
        <f>'C5Q'!F101</f>
        <v>0</v>
      </c>
      <c r="H102" s="352">
        <f>'C5Q'!G101</f>
        <v>0</v>
      </c>
      <c r="I102" s="38">
        <f t="shared" si="18"/>
        <v>0</v>
      </c>
      <c r="J102" s="405" t="str">
        <f t="shared" si="14"/>
        <v/>
      </c>
      <c r="K102" s="708">
        <f>'C5Q'!J101</f>
        <v>0</v>
      </c>
      <c r="L102" s="353"/>
      <c r="M102" s="354"/>
      <c r="N102" s="354"/>
      <c r="O102" s="354"/>
      <c r="P102" s="354"/>
      <c r="Q102" s="354"/>
      <c r="R102" s="354"/>
      <c r="S102" s="354"/>
      <c r="T102" s="354"/>
      <c r="U102" s="354"/>
      <c r="V102" s="354"/>
      <c r="W102" s="354"/>
    </row>
    <row r="103" spans="1:23" ht="11.25" customHeight="1" x14ac:dyDescent="0.25">
      <c r="A103" s="30" t="str">
        <f>'Org structure'!E154</f>
        <v>13.11 - FX008001001 - Governance Function (Internal Audit) - BU</v>
      </c>
      <c r="B103" s="197"/>
      <c r="C103" s="708">
        <f>'C5Q'!B102</f>
        <v>0</v>
      </c>
      <c r="D103" s="703">
        <f>'C5Q'!C102</f>
        <v>0</v>
      </c>
      <c r="E103" s="352">
        <f>'C5Q'!D102</f>
        <v>0</v>
      </c>
      <c r="F103" s="352">
        <f>'C5Q'!E102</f>
        <v>0</v>
      </c>
      <c r="G103" s="352">
        <f>'C5Q'!F102</f>
        <v>0</v>
      </c>
      <c r="H103" s="352">
        <f>'C5Q'!G102</f>
        <v>0</v>
      </c>
      <c r="I103" s="38">
        <f t="shared" si="18"/>
        <v>0</v>
      </c>
      <c r="J103" s="405" t="str">
        <f t="shared" si="14"/>
        <v/>
      </c>
      <c r="K103" s="708">
        <f>'C5Q'!J102</f>
        <v>0</v>
      </c>
      <c r="L103" s="353"/>
      <c r="M103" s="354"/>
      <c r="N103" s="354"/>
      <c r="O103" s="354"/>
      <c r="P103" s="354"/>
      <c r="Q103" s="354"/>
      <c r="R103" s="354"/>
      <c r="S103" s="354"/>
      <c r="T103" s="354"/>
      <c r="U103" s="354"/>
      <c r="V103" s="354"/>
      <c r="W103" s="354"/>
    </row>
    <row r="104" spans="1:23" ht="11.25" customHeight="1" x14ac:dyDescent="0.25">
      <c r="A104" s="30" t="str">
        <f>'Org structure'!E155</f>
        <v>13.12 - FX004001002009 - Research, Knowledge Management and Innovation (Executive and Council) - DV</v>
      </c>
      <c r="B104" s="197"/>
      <c r="C104" s="708">
        <f>'C5Q'!B103</f>
        <v>0</v>
      </c>
      <c r="D104" s="703">
        <f>'C5Q'!C103</f>
        <v>0</v>
      </c>
      <c r="E104" s="352">
        <f>'C5Q'!D103</f>
        <v>0</v>
      </c>
      <c r="F104" s="352">
        <f>'C5Q'!E103</f>
        <v>0</v>
      </c>
      <c r="G104" s="352">
        <f>'C5Q'!F103</f>
        <v>0</v>
      </c>
      <c r="H104" s="352">
        <f>'C5Q'!G103</f>
        <v>0</v>
      </c>
      <c r="I104" s="38">
        <f t="shared" si="18"/>
        <v>0</v>
      </c>
      <c r="J104" s="405" t="str">
        <f t="shared" si="14"/>
        <v/>
      </c>
      <c r="K104" s="708">
        <f>'C5Q'!J103</f>
        <v>0</v>
      </c>
      <c r="L104" s="353"/>
      <c r="M104" s="354"/>
      <c r="N104" s="354"/>
      <c r="O104" s="354"/>
      <c r="P104" s="354"/>
      <c r="Q104" s="354"/>
      <c r="R104" s="354"/>
      <c r="S104" s="354"/>
      <c r="T104" s="354"/>
      <c r="U104" s="354"/>
      <c r="V104" s="354"/>
      <c r="W104" s="354"/>
    </row>
    <row r="105" spans="1:23" ht="11.25" customHeight="1" x14ac:dyDescent="0.25">
      <c r="A105" s="30" t="str">
        <f>'Org structure'!E156</f>
        <v>13.13 - FX004001002010 - Mayoral Support Services (Executive and Council) - DW</v>
      </c>
      <c r="B105" s="197"/>
      <c r="C105" s="708">
        <f>'C5Q'!B104</f>
        <v>0</v>
      </c>
      <c r="D105" s="703">
        <f>'C5Q'!C104</f>
        <v>0</v>
      </c>
      <c r="E105" s="352">
        <f>'C5Q'!D104</f>
        <v>0</v>
      </c>
      <c r="F105" s="352">
        <f>'C5Q'!E104</f>
        <v>0</v>
      </c>
      <c r="G105" s="352">
        <f>'C5Q'!F104</f>
        <v>0</v>
      </c>
      <c r="H105" s="352">
        <f>'C5Q'!G104</f>
        <v>0</v>
      </c>
      <c r="I105" s="38">
        <f t="shared" si="18"/>
        <v>0</v>
      </c>
      <c r="J105" s="405" t="str">
        <f t="shared" si="14"/>
        <v/>
      </c>
      <c r="K105" s="708">
        <f>'C5Q'!J104</f>
        <v>0</v>
      </c>
      <c r="L105" s="353"/>
      <c r="M105" s="354"/>
      <c r="N105" s="354"/>
      <c r="O105" s="354"/>
      <c r="P105" s="354"/>
      <c r="Q105" s="354"/>
      <c r="R105" s="354"/>
      <c r="S105" s="354"/>
      <c r="T105" s="354"/>
      <c r="U105" s="354"/>
      <c r="V105" s="354"/>
      <c r="W105" s="354"/>
    </row>
    <row r="106" spans="1:23" ht="11.25" customHeight="1" x14ac:dyDescent="0.25">
      <c r="A106" s="66" t="str">
        <f>'Org structure'!A18</f>
        <v>Vote 14 - CORPORATE SERVICES - LEGAL SERVICES</v>
      </c>
      <c r="B106" s="197"/>
      <c r="C106" s="707">
        <f t="shared" ref="C106:H106" si="19">SUM(C107:C107)</f>
        <v>0</v>
      </c>
      <c r="D106" s="723">
        <f t="shared" si="19"/>
        <v>0</v>
      </c>
      <c r="E106" s="349">
        <f t="shared" si="19"/>
        <v>0</v>
      </c>
      <c r="F106" s="350">
        <f t="shared" si="19"/>
        <v>0</v>
      </c>
      <c r="G106" s="349">
        <f t="shared" si="19"/>
        <v>0</v>
      </c>
      <c r="H106" s="350">
        <f t="shared" si="19"/>
        <v>0</v>
      </c>
      <c r="I106" s="38">
        <f t="shared" si="18"/>
        <v>0</v>
      </c>
      <c r="J106" s="405" t="str">
        <f t="shared" si="14"/>
        <v/>
      </c>
      <c r="K106" s="707">
        <f>SUM(K107:K107)</f>
        <v>0</v>
      </c>
      <c r="L106" s="353"/>
      <c r="M106" s="354"/>
      <c r="N106" s="354"/>
      <c r="O106" s="354"/>
      <c r="P106" s="354"/>
      <c r="Q106" s="354"/>
      <c r="R106" s="354"/>
      <c r="S106" s="354"/>
      <c r="T106" s="354"/>
      <c r="U106" s="354"/>
      <c r="V106" s="354"/>
      <c r="W106" s="354"/>
    </row>
    <row r="107" spans="1:23" ht="11.25" customHeight="1" x14ac:dyDescent="0.25">
      <c r="A107" s="30" t="str">
        <f>'Org structure'!E158</f>
        <v>14.1 - FX005001008 - Legal Services (Finance and Administration) - BL</v>
      </c>
      <c r="B107" s="197"/>
      <c r="C107" s="708">
        <f>'C5Q'!B106</f>
        <v>0</v>
      </c>
      <c r="D107" s="703">
        <f>'C5Q'!C106</f>
        <v>0</v>
      </c>
      <c r="E107" s="352">
        <f>'C5Q'!D106</f>
        <v>0</v>
      </c>
      <c r="F107" s="352">
        <f>'C5Q'!E106</f>
        <v>0</v>
      </c>
      <c r="G107" s="352">
        <f>'C5Q'!F106</f>
        <v>0</v>
      </c>
      <c r="H107" s="352">
        <f>'C5Q'!G106</f>
        <v>0</v>
      </c>
      <c r="I107" s="38">
        <f t="shared" si="18"/>
        <v>0</v>
      </c>
      <c r="J107" s="405" t="str">
        <f t="shared" si="14"/>
        <v/>
      </c>
      <c r="K107" s="708">
        <f>'C5Q'!J106</f>
        <v>0</v>
      </c>
      <c r="L107" s="353"/>
      <c r="M107" s="354"/>
      <c r="N107" s="354"/>
      <c r="O107" s="354"/>
      <c r="P107" s="354"/>
      <c r="Q107" s="354"/>
      <c r="R107" s="354"/>
      <c r="S107" s="354"/>
      <c r="T107" s="354"/>
      <c r="U107" s="354"/>
      <c r="V107" s="354"/>
      <c r="W107" s="354"/>
    </row>
    <row r="108" spans="1:23" ht="11.25" customHeight="1" x14ac:dyDescent="0.25">
      <c r="A108" s="66" t="str">
        <f>'Org structure'!A19</f>
        <v>Vote 15 - INFRASTRUCTURE SERVICES - INFRASTRUCTURE SUPPORT SERVICES</v>
      </c>
      <c r="B108" s="197"/>
      <c r="C108" s="707">
        <f t="shared" ref="C108:H108" si="20">SUM(C109:C110)</f>
        <v>11270622.620000001</v>
      </c>
      <c r="D108" s="723">
        <f t="shared" si="20"/>
        <v>19300000</v>
      </c>
      <c r="E108" s="349">
        <f t="shared" si="20"/>
        <v>18300000</v>
      </c>
      <c r="F108" s="350">
        <f t="shared" si="20"/>
        <v>4739852.82</v>
      </c>
      <c r="G108" s="349">
        <f t="shared" si="20"/>
        <v>12650830.25</v>
      </c>
      <c r="H108" s="350">
        <f t="shared" si="20"/>
        <v>11328954.48</v>
      </c>
      <c r="I108" s="38">
        <f t="shared" si="18"/>
        <v>1321875.7699999996</v>
      </c>
      <c r="J108" s="405">
        <f t="shared" si="14"/>
        <v>0.11668117939158668</v>
      </c>
      <c r="K108" s="707">
        <f>SUM(K109:K110)</f>
        <v>18300000</v>
      </c>
      <c r="L108" s="353"/>
      <c r="M108" s="354"/>
      <c r="N108" s="354"/>
      <c r="O108" s="354"/>
      <c r="P108" s="354"/>
      <c r="Q108" s="354"/>
      <c r="R108" s="354"/>
      <c r="S108" s="354"/>
      <c r="T108" s="354"/>
      <c r="U108" s="354"/>
      <c r="V108" s="354"/>
      <c r="W108" s="354"/>
    </row>
    <row r="109" spans="1:23" ht="11.25" customHeight="1" x14ac:dyDescent="0.25">
      <c r="A109" s="30" t="str">
        <f>'Org structure'!E169</f>
        <v>15.1 - FX016001001003 - Water Treatment - Scientific Services (Water Management) - DL</v>
      </c>
      <c r="B109" s="197"/>
      <c r="C109" s="708">
        <f>'C5Q'!B108</f>
        <v>-200514.59</v>
      </c>
      <c r="D109" s="703">
        <f>'C5Q'!C108</f>
        <v>0</v>
      </c>
      <c r="E109" s="352">
        <f>'C5Q'!D108</f>
        <v>0</v>
      </c>
      <c r="F109" s="352">
        <f>'C5Q'!E108</f>
        <v>0</v>
      </c>
      <c r="G109" s="352">
        <f>'C5Q'!F108</f>
        <v>0</v>
      </c>
      <c r="H109" s="352">
        <f>'C5Q'!G108</f>
        <v>0</v>
      </c>
      <c r="I109" s="38">
        <f t="shared" si="18"/>
        <v>0</v>
      </c>
      <c r="J109" s="405" t="str">
        <f t="shared" si="14"/>
        <v/>
      </c>
      <c r="K109" s="708">
        <f>'C5Q'!J108</f>
        <v>0</v>
      </c>
      <c r="L109" s="353"/>
      <c r="M109" s="354"/>
      <c r="N109" s="354"/>
      <c r="O109" s="354"/>
      <c r="P109" s="354"/>
      <c r="Q109" s="354"/>
      <c r="R109" s="354"/>
      <c r="S109" s="354"/>
      <c r="T109" s="354"/>
      <c r="U109" s="354"/>
      <c r="V109" s="354"/>
      <c r="W109" s="354"/>
    </row>
    <row r="110" spans="1:23" ht="11.25" customHeight="1" x14ac:dyDescent="0.25">
      <c r="A110" s="30" t="str">
        <f>'Org structure'!E170</f>
        <v>15.2 - FX016001002003 - Water Distribution - Water Demand Management (Water Management) - DO</v>
      </c>
      <c r="B110" s="197"/>
      <c r="C110" s="708">
        <f>'C5Q'!B109</f>
        <v>11471137.210000001</v>
      </c>
      <c r="D110" s="703">
        <f>'C5Q'!C109</f>
        <v>19300000</v>
      </c>
      <c r="E110" s="352">
        <f>'C5Q'!D109</f>
        <v>18300000</v>
      </c>
      <c r="F110" s="352">
        <f>'C5Q'!E109</f>
        <v>4739852.82</v>
      </c>
      <c r="G110" s="352">
        <f>'C5Q'!F109</f>
        <v>12650830.25</v>
      </c>
      <c r="H110" s="352">
        <f>'C5Q'!G109</f>
        <v>11328954.48</v>
      </c>
      <c r="I110" s="38">
        <f t="shared" si="18"/>
        <v>1321875.7699999996</v>
      </c>
      <c r="J110" s="405">
        <f t="shared" si="14"/>
        <v>0.11668117939158668</v>
      </c>
      <c r="K110" s="708">
        <f>'C5Q'!J109</f>
        <v>18300000</v>
      </c>
      <c r="L110" s="353"/>
      <c r="M110" s="354"/>
      <c r="N110" s="354"/>
      <c r="O110" s="354"/>
      <c r="P110" s="354"/>
      <c r="Q110" s="354"/>
      <c r="R110" s="354"/>
      <c r="S110" s="354"/>
      <c r="T110" s="354"/>
      <c r="U110" s="354"/>
      <c r="V110" s="354"/>
      <c r="W110" s="354"/>
    </row>
    <row r="111" spans="1:23" ht="12.75" customHeight="1" x14ac:dyDescent="0.25">
      <c r="A111" s="31" t="s">
        <v>741</v>
      </c>
      <c r="B111" s="197"/>
      <c r="C111" s="709">
        <f t="shared" ref="C111:H111" si="21">C7+C20+C28+C33+C47+C51+C53+C58+C64+C72+C75+C89+C92+C106+C108</f>
        <v>762044857.19999993</v>
      </c>
      <c r="D111" s="724">
        <f t="shared" si="21"/>
        <v>565992000</v>
      </c>
      <c r="E111" s="357">
        <f t="shared" si="21"/>
        <v>586494000</v>
      </c>
      <c r="F111" s="358">
        <f t="shared" si="21"/>
        <v>6375541.4600000009</v>
      </c>
      <c r="G111" s="357">
        <f t="shared" si="21"/>
        <v>362743802.51999998</v>
      </c>
      <c r="H111" s="358">
        <f t="shared" si="21"/>
        <v>472206480.22000003</v>
      </c>
      <c r="I111" s="200">
        <f t="shared" si="18"/>
        <v>-109462677.70000005</v>
      </c>
      <c r="J111" s="570">
        <f t="shared" si="14"/>
        <v>-0.23181104513644457</v>
      </c>
      <c r="K111" s="709">
        <f>K7+K20+K28+K33+K47+K51+K53+K58+K64+K72+K75+K89+K92+K106+K108</f>
        <v>586494000</v>
      </c>
      <c r="L111" s="353"/>
      <c r="M111" s="354"/>
      <c r="N111" s="354"/>
      <c r="O111" s="354"/>
      <c r="P111" s="354"/>
      <c r="Q111" s="354"/>
      <c r="R111" s="354"/>
      <c r="S111" s="354"/>
      <c r="T111" s="354"/>
      <c r="U111" s="354"/>
      <c r="V111" s="354"/>
      <c r="W111" s="354"/>
    </row>
    <row r="112" spans="1:23" ht="3" customHeight="1" x14ac:dyDescent="0.25">
      <c r="A112" s="61"/>
      <c r="B112" s="196"/>
      <c r="C112" s="424"/>
      <c r="D112" s="593"/>
      <c r="E112" s="362"/>
      <c r="F112" s="165"/>
      <c r="G112" s="362"/>
      <c r="H112" s="165"/>
      <c r="I112" s="38">
        <f t="shared" si="18"/>
        <v>0</v>
      </c>
      <c r="J112" s="405" t="str">
        <f t="shared" si="14"/>
        <v/>
      </c>
      <c r="K112" s="424"/>
      <c r="L112" s="353"/>
      <c r="M112" s="354"/>
      <c r="N112" s="354"/>
      <c r="O112" s="354"/>
      <c r="P112" s="354"/>
      <c r="Q112" s="354"/>
      <c r="R112" s="354"/>
      <c r="S112" s="354"/>
      <c r="T112" s="354"/>
      <c r="U112" s="354"/>
      <c r="V112" s="354"/>
      <c r="W112" s="354"/>
    </row>
    <row r="113" spans="1:23" ht="12" customHeight="1" x14ac:dyDescent="0.25">
      <c r="A113" s="29" t="s">
        <v>740</v>
      </c>
      <c r="B113" s="363"/>
      <c r="C113" s="710"/>
      <c r="D113" s="725"/>
      <c r="E113" s="364"/>
      <c r="F113" s="170"/>
      <c r="G113" s="364"/>
      <c r="H113" s="170"/>
      <c r="I113" s="364"/>
      <c r="J113" s="712" t="str">
        <f t="shared" si="14"/>
        <v/>
      </c>
      <c r="K113" s="710"/>
      <c r="L113" s="353"/>
      <c r="M113" s="354"/>
      <c r="N113" s="354"/>
      <c r="O113" s="354"/>
      <c r="P113" s="354"/>
      <c r="Q113" s="354"/>
      <c r="R113" s="354"/>
      <c r="S113" s="354"/>
      <c r="T113" s="354"/>
      <c r="U113" s="354"/>
      <c r="V113" s="354"/>
      <c r="W113" s="354"/>
    </row>
    <row r="114" spans="1:23" ht="11.25" customHeight="1" x14ac:dyDescent="0.25">
      <c r="A114" s="29" t="s">
        <v>744</v>
      </c>
      <c r="B114" s="197">
        <v>1</v>
      </c>
      <c r="C114" s="78"/>
      <c r="D114" s="148"/>
      <c r="E114" s="34"/>
      <c r="F114" s="33"/>
      <c r="G114" s="34"/>
      <c r="H114" s="33"/>
      <c r="I114" s="34">
        <f t="shared" ref="I114:I159" si="22">G114-H114</f>
        <v>0</v>
      </c>
      <c r="J114" s="405" t="str">
        <f t="shared" si="14"/>
        <v/>
      </c>
      <c r="K114" s="78"/>
      <c r="L114" s="353"/>
      <c r="M114" s="354"/>
      <c r="N114" s="354"/>
      <c r="O114" s="354"/>
      <c r="P114" s="354"/>
      <c r="Q114" s="354"/>
      <c r="R114" s="354"/>
      <c r="S114" s="354"/>
      <c r="T114" s="354"/>
      <c r="U114" s="354"/>
      <c r="V114" s="354"/>
      <c r="W114" s="354"/>
    </row>
    <row r="115" spans="1:23" ht="11.25" customHeight="1" x14ac:dyDescent="0.25">
      <c r="A115" s="66" t="str">
        <f>'Org structure'!A2</f>
        <v>Vote 1 - CITY DEVELOPMENT</v>
      </c>
      <c r="B115" s="132"/>
      <c r="C115" s="707">
        <f t="shared" ref="C115:K115" si="23">SUM(C116:C125)</f>
        <v>1457540</v>
      </c>
      <c r="D115" s="723">
        <f t="shared" si="23"/>
        <v>0</v>
      </c>
      <c r="E115" s="349">
        <f t="shared" si="23"/>
        <v>0</v>
      </c>
      <c r="F115" s="350">
        <f t="shared" si="23"/>
        <v>0</v>
      </c>
      <c r="G115" s="349">
        <f t="shared" si="23"/>
        <v>0</v>
      </c>
      <c r="H115" s="350">
        <f t="shared" si="23"/>
        <v>0</v>
      </c>
      <c r="I115" s="34">
        <f t="shared" si="22"/>
        <v>0</v>
      </c>
      <c r="J115" s="405" t="str">
        <f t="shared" si="14"/>
        <v/>
      </c>
      <c r="K115" s="707">
        <f t="shared" si="23"/>
        <v>0</v>
      </c>
      <c r="L115" s="353"/>
      <c r="M115" s="354"/>
      <c r="N115" s="354"/>
      <c r="O115" s="354"/>
      <c r="P115" s="354"/>
      <c r="Q115" s="354"/>
      <c r="R115" s="354"/>
      <c r="S115" s="354"/>
      <c r="T115" s="354"/>
      <c r="U115" s="354"/>
      <c r="V115" s="354"/>
      <c r="W115" s="354"/>
    </row>
    <row r="116" spans="1:23" ht="11.25" customHeight="1" x14ac:dyDescent="0.25">
      <c r="A116" s="30" t="str">
        <f>'Org structure'!E3</f>
        <v>1.1 - FX005001014 - Valuation Service (Finance and Administration) - BR</v>
      </c>
      <c r="B116" s="197"/>
      <c r="C116" s="332">
        <f>'C5Q'!N6</f>
        <v>0</v>
      </c>
      <c r="D116" s="704">
        <f>'C5Q'!O6</f>
        <v>0</v>
      </c>
      <c r="E116" s="365">
        <f>'C5Q'!P6</f>
        <v>0</v>
      </c>
      <c r="F116" s="365">
        <f>'C5Q'!Q6</f>
        <v>0</v>
      </c>
      <c r="G116" s="365">
        <f>'C5Q'!R6</f>
        <v>0</v>
      </c>
      <c r="H116" s="365">
        <f>'C5Q'!S6</f>
        <v>0</v>
      </c>
      <c r="I116" s="34">
        <f t="shared" si="22"/>
        <v>0</v>
      </c>
      <c r="J116" s="405" t="str">
        <f t="shared" si="14"/>
        <v/>
      </c>
      <c r="K116" s="332">
        <f>'C5Q'!V6</f>
        <v>0</v>
      </c>
      <c r="L116" s="353"/>
      <c r="M116" s="354"/>
      <c r="N116" s="354"/>
      <c r="O116" s="354"/>
      <c r="P116" s="354"/>
      <c r="Q116" s="354"/>
      <c r="R116" s="354"/>
      <c r="S116" s="354"/>
      <c r="T116" s="354"/>
      <c r="U116" s="354"/>
      <c r="V116" s="354"/>
      <c r="W116" s="354"/>
    </row>
    <row r="117" spans="1:23" ht="11.25" customHeight="1" x14ac:dyDescent="0.25">
      <c r="A117" s="30" t="str">
        <f>'Org structure'!E4</f>
        <v>1.2 - FX007001001 - Housing (Housing) - BT</v>
      </c>
      <c r="B117" s="197"/>
      <c r="C117" s="332">
        <f>'C5Q'!N7</f>
        <v>0</v>
      </c>
      <c r="D117" s="704">
        <f>'C5Q'!O7</f>
        <v>0</v>
      </c>
      <c r="E117" s="365">
        <f>'C5Q'!P7</f>
        <v>0</v>
      </c>
      <c r="F117" s="365">
        <f>'C5Q'!Q7</f>
        <v>0</v>
      </c>
      <c r="G117" s="365">
        <f>'C5Q'!R7</f>
        <v>0</v>
      </c>
      <c r="H117" s="365">
        <f>'C5Q'!S7</f>
        <v>0</v>
      </c>
      <c r="I117" s="34">
        <f t="shared" si="22"/>
        <v>0</v>
      </c>
      <c r="J117" s="405" t="str">
        <f t="shared" si="14"/>
        <v/>
      </c>
      <c r="K117" s="332">
        <f>'C5Q'!V7</f>
        <v>0</v>
      </c>
      <c r="L117" s="353"/>
      <c r="M117" s="354"/>
      <c r="N117" s="354"/>
      <c r="O117" s="354"/>
      <c r="P117" s="354"/>
      <c r="Q117" s="354"/>
      <c r="R117" s="354"/>
      <c r="S117" s="354"/>
      <c r="T117" s="354"/>
      <c r="U117" s="354"/>
      <c r="V117" s="354"/>
      <c r="W117" s="354"/>
    </row>
    <row r="118" spans="1:23" ht="11.25" customHeight="1" x14ac:dyDescent="0.25">
      <c r="A118" s="30" t="str">
        <f>'Org structure'!E5</f>
        <v>1.3 - FX009002006 - Tourism (Other) - BX</v>
      </c>
      <c r="B118" s="197"/>
      <c r="C118" s="332">
        <f>'C5Q'!N8</f>
        <v>0</v>
      </c>
      <c r="D118" s="704">
        <f>'C5Q'!O8</f>
        <v>0</v>
      </c>
      <c r="E118" s="365">
        <f>'C5Q'!P8</f>
        <v>0</v>
      </c>
      <c r="F118" s="365">
        <f>'C5Q'!Q8</f>
        <v>0</v>
      </c>
      <c r="G118" s="365">
        <f>'C5Q'!R8</f>
        <v>0</v>
      </c>
      <c r="H118" s="365">
        <f>'C5Q'!S8</f>
        <v>0</v>
      </c>
      <c r="I118" s="34">
        <f t="shared" si="22"/>
        <v>0</v>
      </c>
      <c r="J118" s="405" t="str">
        <f t="shared" si="14"/>
        <v/>
      </c>
      <c r="K118" s="332">
        <f>'C5Q'!V8</f>
        <v>0</v>
      </c>
      <c r="L118" s="353"/>
      <c r="M118" s="354"/>
      <c r="N118" s="354"/>
      <c r="O118" s="354"/>
      <c r="P118" s="354"/>
      <c r="Q118" s="354"/>
      <c r="R118" s="354"/>
      <c r="S118" s="354"/>
      <c r="T118" s="354"/>
      <c r="U118" s="354"/>
      <c r="V118" s="354"/>
      <c r="W118" s="354"/>
    </row>
    <row r="119" spans="1:23" ht="11.25" customHeight="1" x14ac:dyDescent="0.25">
      <c r="A119" s="30" t="str">
        <f>'Org structure'!E6</f>
        <v>1.4 - FX010001001 - Billboards (Planning and Development) - BY</v>
      </c>
      <c r="B119" s="197"/>
      <c r="C119" s="332">
        <f>'C5Q'!N9</f>
        <v>0</v>
      </c>
      <c r="D119" s="704">
        <f>'C5Q'!O9</f>
        <v>0</v>
      </c>
      <c r="E119" s="365">
        <f>'C5Q'!P9</f>
        <v>0</v>
      </c>
      <c r="F119" s="365">
        <f>'C5Q'!Q9</f>
        <v>0</v>
      </c>
      <c r="G119" s="365">
        <f>'C5Q'!R9</f>
        <v>0</v>
      </c>
      <c r="H119" s="365">
        <f>'C5Q'!S9</f>
        <v>0</v>
      </c>
      <c r="I119" s="34">
        <f t="shared" si="22"/>
        <v>0</v>
      </c>
      <c r="J119" s="405" t="str">
        <f t="shared" si="14"/>
        <v/>
      </c>
      <c r="K119" s="332">
        <f>'C5Q'!V9</f>
        <v>0</v>
      </c>
      <c r="L119" s="353"/>
      <c r="M119" s="354"/>
      <c r="N119" s="354"/>
      <c r="O119" s="354"/>
      <c r="P119" s="354"/>
      <c r="Q119" s="354"/>
      <c r="R119" s="354"/>
      <c r="S119" s="354"/>
      <c r="T119" s="354"/>
      <c r="U119" s="354"/>
      <c r="V119" s="354"/>
      <c r="W119" s="354"/>
    </row>
    <row r="120" spans="1:23" ht="11.25" customHeight="1" x14ac:dyDescent="0.25">
      <c r="A120" s="30" t="str">
        <f>'Org structure'!E7</f>
        <v>1.5 - FX010001002 - Corporate Wide Strategic Planning (IDPs, LEDs) (Planning and Development) - BZ</v>
      </c>
      <c r="B120" s="197"/>
      <c r="C120" s="332">
        <f>'C5Q'!N10</f>
        <v>0</v>
      </c>
      <c r="D120" s="704">
        <f>'C5Q'!O10</f>
        <v>0</v>
      </c>
      <c r="E120" s="365">
        <f>'C5Q'!P10</f>
        <v>0</v>
      </c>
      <c r="F120" s="365">
        <f>'C5Q'!Q10</f>
        <v>0</v>
      </c>
      <c r="G120" s="365">
        <f>'C5Q'!R10</f>
        <v>0</v>
      </c>
      <c r="H120" s="365">
        <f>'C5Q'!S10</f>
        <v>0</v>
      </c>
      <c r="I120" s="34">
        <f t="shared" si="22"/>
        <v>0</v>
      </c>
      <c r="J120" s="405" t="str">
        <f t="shared" si="14"/>
        <v/>
      </c>
      <c r="K120" s="332">
        <f>'C5Q'!V10</f>
        <v>0</v>
      </c>
      <c r="L120" s="353"/>
      <c r="M120" s="354"/>
      <c r="N120" s="354"/>
      <c r="O120" s="354"/>
      <c r="P120" s="354"/>
      <c r="Q120" s="354"/>
      <c r="R120" s="354"/>
      <c r="S120" s="354"/>
      <c r="T120" s="354"/>
      <c r="U120" s="354"/>
      <c r="V120" s="354"/>
      <c r="W120" s="354"/>
    </row>
    <row r="121" spans="1:23" ht="11.25" customHeight="1" x14ac:dyDescent="0.25">
      <c r="A121" s="30" t="str">
        <f>'Org structure'!E8</f>
        <v>1.6 - FX010001004 - Development Facilitation (Planning and Deveopment) - CA</v>
      </c>
      <c r="B121" s="197"/>
      <c r="C121" s="332">
        <f>'C5Q'!N11</f>
        <v>0</v>
      </c>
      <c r="D121" s="704">
        <f>'C5Q'!O11</f>
        <v>0</v>
      </c>
      <c r="E121" s="365">
        <f>'C5Q'!P11</f>
        <v>0</v>
      </c>
      <c r="F121" s="365">
        <f>'C5Q'!Q11</f>
        <v>0</v>
      </c>
      <c r="G121" s="365">
        <f>'C5Q'!R11</f>
        <v>0</v>
      </c>
      <c r="H121" s="365">
        <f>'C5Q'!S11</f>
        <v>0</v>
      </c>
      <c r="I121" s="34">
        <f t="shared" si="22"/>
        <v>0</v>
      </c>
      <c r="J121" s="405" t="str">
        <f t="shared" si="14"/>
        <v/>
      </c>
      <c r="K121" s="332">
        <f>'C5Q'!V11</f>
        <v>0</v>
      </c>
      <c r="L121" s="353"/>
      <c r="M121" s="354"/>
      <c r="N121" s="354"/>
      <c r="O121" s="354"/>
      <c r="P121" s="354"/>
      <c r="Q121" s="354"/>
      <c r="R121" s="354"/>
      <c r="S121" s="354"/>
      <c r="T121" s="354"/>
      <c r="U121" s="354"/>
      <c r="V121" s="354"/>
      <c r="W121" s="354"/>
    </row>
    <row r="122" spans="1:23" ht="11.25" customHeight="1" x14ac:dyDescent="0.25">
      <c r="A122" s="30" t="str">
        <f>'Org structure'!E9</f>
        <v>1.7 - FX010001005 - Economic Development/Planning (Planning and Development) - CC</v>
      </c>
      <c r="B122" s="197"/>
      <c r="C122" s="332">
        <f>'C5Q'!N12</f>
        <v>0</v>
      </c>
      <c r="D122" s="704">
        <f>'C5Q'!O12</f>
        <v>0</v>
      </c>
      <c r="E122" s="365">
        <f>'C5Q'!P12</f>
        <v>0</v>
      </c>
      <c r="F122" s="365">
        <f>'C5Q'!Q12</f>
        <v>0</v>
      </c>
      <c r="G122" s="365">
        <f>'C5Q'!R12</f>
        <v>0</v>
      </c>
      <c r="H122" s="365">
        <f>'C5Q'!S12</f>
        <v>0</v>
      </c>
      <c r="I122" s="34">
        <f t="shared" si="22"/>
        <v>0</v>
      </c>
      <c r="J122" s="405" t="str">
        <f t="shared" si="14"/>
        <v/>
      </c>
      <c r="K122" s="332">
        <f>'C5Q'!V12</f>
        <v>0</v>
      </c>
      <c r="L122" s="353"/>
      <c r="M122" s="354"/>
      <c r="N122" s="354"/>
      <c r="O122" s="354"/>
      <c r="P122" s="354"/>
      <c r="Q122" s="354"/>
      <c r="R122" s="354"/>
      <c r="S122" s="354"/>
      <c r="T122" s="354"/>
      <c r="U122" s="354"/>
      <c r="V122" s="354"/>
      <c r="W122" s="354"/>
    </row>
    <row r="123" spans="1:23" ht="11.25" customHeight="1" x14ac:dyDescent="0.25">
      <c r="A123" s="30" t="str">
        <f>'Org structure'!E10</f>
        <v>1.8 - FX010001006 - Town Planning, Building Regulations and Enforcement, and City Engineer (Planning and Development) - CD</v>
      </c>
      <c r="B123" s="197"/>
      <c r="C123" s="332">
        <f>'C5Q'!N13</f>
        <v>0</v>
      </c>
      <c r="D123" s="704">
        <f>'C5Q'!O13</f>
        <v>0</v>
      </c>
      <c r="E123" s="365">
        <f>'C5Q'!P13</f>
        <v>0</v>
      </c>
      <c r="F123" s="365">
        <f>'C5Q'!Q13</f>
        <v>0</v>
      </c>
      <c r="G123" s="365">
        <f>'C5Q'!R13</f>
        <v>0</v>
      </c>
      <c r="H123" s="365">
        <f>'C5Q'!S13</f>
        <v>0</v>
      </c>
      <c r="I123" s="34">
        <f t="shared" si="22"/>
        <v>0</v>
      </c>
      <c r="J123" s="405" t="str">
        <f t="shared" si="14"/>
        <v/>
      </c>
      <c r="K123" s="332">
        <f>'C5Q'!V13</f>
        <v>0</v>
      </c>
      <c r="L123" s="353"/>
      <c r="M123" s="354"/>
      <c r="N123" s="354"/>
      <c r="O123" s="354"/>
      <c r="P123" s="354"/>
      <c r="Q123" s="354"/>
      <c r="R123" s="354"/>
      <c r="S123" s="354"/>
      <c r="T123" s="354"/>
      <c r="U123" s="354"/>
      <c r="V123" s="354"/>
      <c r="W123" s="354"/>
    </row>
    <row r="124" spans="1:23" ht="11.25" customHeight="1" x14ac:dyDescent="0.25">
      <c r="A124" s="30" t="str">
        <f>'Org structure'!E11</f>
        <v>1.9 - FX003001003 - Pollution Control (Environmental Protection) - AR</v>
      </c>
      <c r="B124" s="197"/>
      <c r="C124" s="332">
        <f>'C5Q'!N14</f>
        <v>1457540</v>
      </c>
      <c r="D124" s="704">
        <f>'C5Q'!O14</f>
        <v>0</v>
      </c>
      <c r="E124" s="365">
        <f>'C5Q'!P14</f>
        <v>0</v>
      </c>
      <c r="F124" s="365">
        <f>'C5Q'!Q14</f>
        <v>0</v>
      </c>
      <c r="G124" s="365">
        <f>'C5Q'!R14</f>
        <v>0</v>
      </c>
      <c r="H124" s="365">
        <f>'C5Q'!S14</f>
        <v>0</v>
      </c>
      <c r="I124" s="34">
        <f t="shared" si="22"/>
        <v>0</v>
      </c>
      <c r="J124" s="405" t="str">
        <f t="shared" si="14"/>
        <v/>
      </c>
      <c r="K124" s="332">
        <f>'C5Q'!V14</f>
        <v>0</v>
      </c>
      <c r="L124" s="353"/>
      <c r="M124" s="354"/>
      <c r="N124" s="354"/>
      <c r="O124" s="354"/>
      <c r="P124" s="354"/>
      <c r="Q124" s="354"/>
      <c r="R124" s="354"/>
      <c r="S124" s="354"/>
      <c r="T124" s="354"/>
      <c r="U124" s="354"/>
      <c r="V124" s="354"/>
      <c r="W124" s="354"/>
    </row>
    <row r="125" spans="1:23" ht="11.25" customHeight="1" x14ac:dyDescent="0.25">
      <c r="A125" s="30" t="str">
        <f>'Org structure'!E12</f>
        <v>1.10 - FX005001010 - Property Services (Finance and Administration) - BN</v>
      </c>
      <c r="B125" s="197"/>
      <c r="C125" s="332">
        <f>'C5Q'!N15</f>
        <v>0</v>
      </c>
      <c r="D125" s="704">
        <f>'C5Q'!O15</f>
        <v>0</v>
      </c>
      <c r="E125" s="365">
        <f>'C5Q'!P15</f>
        <v>0</v>
      </c>
      <c r="F125" s="365">
        <f>'C5Q'!Q15</f>
        <v>0</v>
      </c>
      <c r="G125" s="365">
        <f>'C5Q'!R15</f>
        <v>0</v>
      </c>
      <c r="H125" s="365">
        <f>'C5Q'!S15</f>
        <v>0</v>
      </c>
      <c r="I125" s="34">
        <f t="shared" si="22"/>
        <v>0</v>
      </c>
      <c r="J125" s="405" t="str">
        <f t="shared" si="14"/>
        <v/>
      </c>
      <c r="K125" s="332">
        <f>'C5Q'!V15</f>
        <v>0</v>
      </c>
      <c r="L125" s="353"/>
      <c r="M125" s="354"/>
      <c r="N125" s="354"/>
      <c r="O125" s="354"/>
      <c r="P125" s="354"/>
      <c r="Q125" s="354"/>
      <c r="R125" s="354"/>
      <c r="S125" s="354"/>
      <c r="T125" s="354"/>
      <c r="U125" s="354"/>
      <c r="V125" s="354"/>
      <c r="W125" s="354"/>
    </row>
    <row r="126" spans="1:23" ht="11.25" customHeight="1" x14ac:dyDescent="0.25">
      <c r="A126" s="30" t="str">
        <f>'Org structure'!E13</f>
        <v>1.11 - FX009001004 - Licensing and Regulation (Other) - BW</v>
      </c>
      <c r="B126" s="197"/>
      <c r="C126" s="332">
        <f>'C5Q'!N16</f>
        <v>0</v>
      </c>
      <c r="D126" s="704">
        <f>'C5Q'!O16</f>
        <v>0</v>
      </c>
      <c r="E126" s="365">
        <f>'C5Q'!P16</f>
        <v>0</v>
      </c>
      <c r="F126" s="365">
        <f>'C5Q'!Q16</f>
        <v>0</v>
      </c>
      <c r="G126" s="365">
        <f>'C5Q'!R16</f>
        <v>0</v>
      </c>
      <c r="H126" s="365">
        <f>'C5Q'!S16</f>
        <v>0</v>
      </c>
      <c r="I126" s="34">
        <f t="shared" si="22"/>
        <v>0</v>
      </c>
      <c r="J126" s="405" t="str">
        <f t="shared" si="14"/>
        <v/>
      </c>
      <c r="K126" s="332">
        <f>'C5Q'!V16</f>
        <v>0</v>
      </c>
      <c r="L126" s="353"/>
      <c r="M126" s="354"/>
      <c r="N126" s="354"/>
      <c r="O126" s="354"/>
      <c r="P126" s="354"/>
      <c r="Q126" s="354"/>
      <c r="R126" s="354"/>
      <c r="S126" s="354"/>
      <c r="T126" s="354"/>
      <c r="U126" s="354"/>
      <c r="V126" s="354"/>
      <c r="W126" s="354"/>
    </row>
    <row r="127" spans="1:23" ht="11.25" customHeight="1" x14ac:dyDescent="0.25">
      <c r="A127" s="30" t="str">
        <f>'Org structure'!E14</f>
        <v>1.12 - FX012001003001 - Public Transport Facilities and Operations Coordination (Road Transport) - DX</v>
      </c>
      <c r="B127" s="197"/>
      <c r="C127" s="332">
        <f>'C5Q'!N17</f>
        <v>0</v>
      </c>
      <c r="D127" s="704">
        <f>'C5Q'!O17</f>
        <v>0</v>
      </c>
      <c r="E127" s="365">
        <f>'C5Q'!P17</f>
        <v>0</v>
      </c>
      <c r="F127" s="365">
        <f>'C5Q'!Q17</f>
        <v>0</v>
      </c>
      <c r="G127" s="365">
        <f>'C5Q'!R17</f>
        <v>0</v>
      </c>
      <c r="H127" s="365">
        <f>'C5Q'!S17</f>
        <v>0</v>
      </c>
      <c r="I127" s="34">
        <f t="shared" si="22"/>
        <v>0</v>
      </c>
      <c r="J127" s="405" t="str">
        <f t="shared" si="14"/>
        <v/>
      </c>
      <c r="K127" s="332">
        <f>'C5Q'!V17</f>
        <v>0</v>
      </c>
      <c r="L127" s="353"/>
      <c r="M127" s="354"/>
      <c r="N127" s="354"/>
      <c r="O127" s="354"/>
      <c r="P127" s="354"/>
      <c r="Q127" s="354"/>
      <c r="R127" s="354"/>
      <c r="S127" s="354"/>
      <c r="T127" s="354"/>
      <c r="U127" s="354"/>
      <c r="V127" s="354"/>
      <c r="W127" s="354"/>
    </row>
    <row r="128" spans="1:23" ht="11.25" customHeight="1" x14ac:dyDescent="0.25">
      <c r="A128" s="66" t="str">
        <f>'Org structure'!A3</f>
        <v>Vote 2 - COMMUNITY SERVICES - PUBLIC HEALTH AND EMERGENCY SERVICES</v>
      </c>
      <c r="B128" s="132"/>
      <c r="C128" s="707">
        <f t="shared" ref="C128:H128" si="24">SUM(C129:C135)</f>
        <v>729985</v>
      </c>
      <c r="D128" s="723">
        <f t="shared" si="24"/>
        <v>58000</v>
      </c>
      <c r="E128" s="349">
        <f t="shared" si="24"/>
        <v>58000</v>
      </c>
      <c r="F128" s="350">
        <f t="shared" si="24"/>
        <v>0</v>
      </c>
      <c r="G128" s="349">
        <f t="shared" si="24"/>
        <v>9900</v>
      </c>
      <c r="H128" s="350">
        <f t="shared" si="24"/>
        <v>23900</v>
      </c>
      <c r="I128" s="34">
        <f t="shared" si="22"/>
        <v>-14000</v>
      </c>
      <c r="J128" s="405">
        <f t="shared" si="14"/>
        <v>-0.58577405857740583</v>
      </c>
      <c r="K128" s="707">
        <f>SUM(K129:K135)</f>
        <v>58000</v>
      </c>
      <c r="L128" s="353"/>
      <c r="M128" s="354"/>
      <c r="N128" s="354"/>
      <c r="O128" s="354"/>
      <c r="P128" s="354"/>
      <c r="Q128" s="354"/>
      <c r="R128" s="354"/>
      <c r="S128" s="354"/>
      <c r="T128" s="354"/>
      <c r="U128" s="354"/>
      <c r="V128" s="354"/>
      <c r="W128" s="354"/>
    </row>
    <row r="129" spans="1:23" ht="11.25" customHeight="1" x14ac:dyDescent="0.25">
      <c r="A129" s="30" t="str">
        <f>'Org structure'!E17</f>
        <v>2,1 - FX001002008 - Disaster Management (Community and Social Services) - AH</v>
      </c>
      <c r="B129" s="197"/>
      <c r="C129" s="332">
        <f>'C5Q'!N20</f>
        <v>0</v>
      </c>
      <c r="D129" s="704">
        <f>'C5Q'!O20</f>
        <v>28000</v>
      </c>
      <c r="E129" s="365">
        <f>'C5Q'!P20</f>
        <v>28000</v>
      </c>
      <c r="F129" s="365">
        <f>'C5Q'!Q20</f>
        <v>0</v>
      </c>
      <c r="G129" s="365">
        <f>'C5Q'!R20</f>
        <v>9900</v>
      </c>
      <c r="H129" s="365">
        <f>'C5Q'!S20</f>
        <v>23900</v>
      </c>
      <c r="I129" s="34">
        <f t="shared" si="22"/>
        <v>-14000</v>
      </c>
      <c r="J129" s="405">
        <f t="shared" si="14"/>
        <v>-0.58577405857740583</v>
      </c>
      <c r="K129" s="332">
        <f>'C5Q'!V20</f>
        <v>28000</v>
      </c>
      <c r="L129" s="353"/>
      <c r="M129" s="354"/>
      <c r="N129" s="354"/>
      <c r="O129" s="354"/>
      <c r="P129" s="354"/>
      <c r="Q129" s="354"/>
      <c r="R129" s="354"/>
      <c r="S129" s="354"/>
      <c r="T129" s="354"/>
      <c r="U129" s="354"/>
      <c r="V129" s="354"/>
      <c r="W129" s="354"/>
    </row>
    <row r="130" spans="1:23" ht="11.25" customHeight="1" x14ac:dyDescent="0.25">
      <c r="A130" s="30" t="str">
        <f>'Org structure'!E18</f>
        <v>2,2 - FX011001005 - Fire Fighting and Protection (Public Safety) - CK</v>
      </c>
      <c r="B130" s="197"/>
      <c r="C130" s="332">
        <f>'C5Q'!N21</f>
        <v>729985</v>
      </c>
      <c r="D130" s="704">
        <f>'C5Q'!O21</f>
        <v>0</v>
      </c>
      <c r="E130" s="365">
        <f>'C5Q'!P21</f>
        <v>0</v>
      </c>
      <c r="F130" s="365">
        <f>'C5Q'!Q21</f>
        <v>0</v>
      </c>
      <c r="G130" s="365">
        <f>'C5Q'!R21</f>
        <v>0</v>
      </c>
      <c r="H130" s="365">
        <f>'C5Q'!S21</f>
        <v>0</v>
      </c>
      <c r="I130" s="34">
        <f t="shared" si="22"/>
        <v>0</v>
      </c>
      <c r="J130" s="405" t="str">
        <f t="shared" si="14"/>
        <v/>
      </c>
      <c r="K130" s="332">
        <f>'C5Q'!V21</f>
        <v>0</v>
      </c>
      <c r="L130" s="353"/>
      <c r="M130" s="354"/>
      <c r="N130" s="354"/>
      <c r="O130" s="354"/>
      <c r="P130" s="354"/>
      <c r="Q130" s="354"/>
      <c r="R130" s="354"/>
      <c r="S130" s="354"/>
      <c r="T130" s="354"/>
      <c r="U130" s="354"/>
      <c r="V130" s="354"/>
      <c r="W130" s="354"/>
    </row>
    <row r="131" spans="1:23" ht="11.25" customHeight="1" x14ac:dyDescent="0.25">
      <c r="A131" s="30" t="str">
        <f>'Org structure'!E19</f>
        <v>2,3 - FX012001005 - Taxi Ranks (Road Transport) - CP</v>
      </c>
      <c r="B131" s="197"/>
      <c r="C131" s="332">
        <f>'C5Q'!N22</f>
        <v>0</v>
      </c>
      <c r="D131" s="704">
        <f>'C5Q'!O22</f>
        <v>0</v>
      </c>
      <c r="E131" s="365">
        <f>'C5Q'!P22</f>
        <v>0</v>
      </c>
      <c r="F131" s="365">
        <f>'C5Q'!Q22</f>
        <v>0</v>
      </c>
      <c r="G131" s="365">
        <f>'C5Q'!R22</f>
        <v>0</v>
      </c>
      <c r="H131" s="365">
        <f>'C5Q'!S22</f>
        <v>0</v>
      </c>
      <c r="I131" s="34">
        <f t="shared" si="22"/>
        <v>0</v>
      </c>
      <c r="J131" s="405" t="str">
        <f t="shared" si="14"/>
        <v/>
      </c>
      <c r="K131" s="332">
        <f>'C5Q'!V22</f>
        <v>0</v>
      </c>
      <c r="L131" s="353"/>
      <c r="M131" s="354"/>
      <c r="N131" s="354"/>
      <c r="O131" s="354"/>
      <c r="P131" s="354"/>
      <c r="Q131" s="354"/>
      <c r="R131" s="354"/>
      <c r="S131" s="354"/>
      <c r="T131" s="354"/>
      <c r="U131" s="354"/>
      <c r="V131" s="354"/>
      <c r="W131" s="354"/>
    </row>
    <row r="132" spans="1:23" ht="11.25" customHeight="1" x14ac:dyDescent="0.25">
      <c r="A132" s="30" t="str">
        <f>'Org structure'!E20</f>
        <v>2,4 - FX014001003 - Solid Waste Removal (Waste Management) - DC</v>
      </c>
      <c r="B132" s="197"/>
      <c r="C132" s="332">
        <f>'C5Q'!N23</f>
        <v>0</v>
      </c>
      <c r="D132" s="704">
        <f>'C5Q'!O23</f>
        <v>0</v>
      </c>
      <c r="E132" s="365">
        <f>'C5Q'!P23</f>
        <v>0</v>
      </c>
      <c r="F132" s="365">
        <f>'C5Q'!Q23</f>
        <v>0</v>
      </c>
      <c r="G132" s="365">
        <f>'C5Q'!R23</f>
        <v>0</v>
      </c>
      <c r="H132" s="365">
        <f>'C5Q'!S23</f>
        <v>0</v>
      </c>
      <c r="I132" s="34">
        <f t="shared" si="22"/>
        <v>0</v>
      </c>
      <c r="J132" s="405" t="str">
        <f t="shared" si="14"/>
        <v/>
      </c>
      <c r="K132" s="332">
        <f>'C5Q'!V23</f>
        <v>0</v>
      </c>
      <c r="L132" s="353"/>
      <c r="M132" s="354"/>
      <c r="N132" s="354"/>
      <c r="O132" s="354"/>
      <c r="P132" s="354"/>
      <c r="Q132" s="354"/>
      <c r="R132" s="354"/>
      <c r="S132" s="354"/>
      <c r="T132" s="354"/>
      <c r="U132" s="354"/>
      <c r="V132" s="354"/>
      <c r="W132" s="354"/>
    </row>
    <row r="133" spans="1:23" ht="11.25" customHeight="1" x14ac:dyDescent="0.25">
      <c r="A133" s="30" t="str">
        <f>'Org structure'!E21</f>
        <v>2,5 - FX014001004 - Street Cleansing (Waste Management) - DE</v>
      </c>
      <c r="B133" s="197"/>
      <c r="C133" s="332">
        <f>'C5Q'!N24</f>
        <v>0</v>
      </c>
      <c r="D133" s="704">
        <f>'C5Q'!O24</f>
        <v>30000</v>
      </c>
      <c r="E133" s="365">
        <f>'C5Q'!P24</f>
        <v>30000</v>
      </c>
      <c r="F133" s="365">
        <f>'C5Q'!Q24</f>
        <v>0</v>
      </c>
      <c r="G133" s="365">
        <f>'C5Q'!R24</f>
        <v>0</v>
      </c>
      <c r="H133" s="365">
        <f>'C5Q'!S24</f>
        <v>0</v>
      </c>
      <c r="I133" s="34">
        <f t="shared" si="22"/>
        <v>0</v>
      </c>
      <c r="J133" s="405" t="str">
        <f t="shared" si="14"/>
        <v/>
      </c>
      <c r="K133" s="332">
        <f>'C5Q'!V24</f>
        <v>30000</v>
      </c>
      <c r="L133" s="353"/>
      <c r="M133" s="354"/>
      <c r="N133" s="354"/>
      <c r="O133" s="354"/>
      <c r="P133" s="354"/>
      <c r="Q133" s="354"/>
      <c r="R133" s="354"/>
      <c r="S133" s="354"/>
      <c r="T133" s="354"/>
      <c r="U133" s="354"/>
      <c r="V133" s="354"/>
      <c r="W133" s="354"/>
    </row>
    <row r="134" spans="1:23" ht="11.25" customHeight="1" x14ac:dyDescent="0.25">
      <c r="A134" s="30" t="str">
        <f>'Org structure'!E22</f>
        <v>2,6 - FX015001001 - Public Toilets (Waste Water Management) - DF</v>
      </c>
      <c r="B134" s="197"/>
      <c r="C134" s="332">
        <f>'C5Q'!N25</f>
        <v>0</v>
      </c>
      <c r="D134" s="704">
        <f>'C5Q'!O25</f>
        <v>0</v>
      </c>
      <c r="E134" s="365">
        <f>'C5Q'!P25</f>
        <v>0</v>
      </c>
      <c r="F134" s="365">
        <f>'C5Q'!Q25</f>
        <v>0</v>
      </c>
      <c r="G134" s="365">
        <f>'C5Q'!R25</f>
        <v>0</v>
      </c>
      <c r="H134" s="365">
        <f>'C5Q'!S25</f>
        <v>0</v>
      </c>
      <c r="I134" s="34">
        <f t="shared" si="22"/>
        <v>0</v>
      </c>
      <c r="J134" s="405" t="str">
        <f t="shared" si="14"/>
        <v/>
      </c>
      <c r="K134" s="332">
        <f>'C5Q'!V25</f>
        <v>0</v>
      </c>
      <c r="L134" s="353"/>
      <c r="M134" s="354"/>
      <c r="N134" s="354"/>
      <c r="O134" s="354"/>
      <c r="P134" s="354"/>
      <c r="Q134" s="354"/>
      <c r="R134" s="354"/>
      <c r="S134" s="354"/>
      <c r="T134" s="354"/>
      <c r="U134" s="354"/>
      <c r="V134" s="354"/>
      <c r="W134" s="354"/>
    </row>
    <row r="135" spans="1:23" ht="11.25" customHeight="1" x14ac:dyDescent="0.25">
      <c r="A135" s="30" t="str">
        <f>'Org structure'!E23</f>
        <v>2,7 - FX006001001 - Public Health and Emergency Services (Environmental Protection) - DY</v>
      </c>
      <c r="B135" s="197"/>
      <c r="C135" s="332">
        <f>'C5Q'!N26</f>
        <v>0</v>
      </c>
      <c r="D135" s="704">
        <f>'C5Q'!O26</f>
        <v>0</v>
      </c>
      <c r="E135" s="365">
        <f>'C5Q'!P26</f>
        <v>0</v>
      </c>
      <c r="F135" s="365">
        <f>'C5Q'!Q26</f>
        <v>0</v>
      </c>
      <c r="G135" s="365">
        <f>'C5Q'!R26</f>
        <v>0</v>
      </c>
      <c r="H135" s="365">
        <f>'C5Q'!S26</f>
        <v>0</v>
      </c>
      <c r="I135" s="34">
        <f t="shared" si="22"/>
        <v>0</v>
      </c>
      <c r="J135" s="405" t="str">
        <f t="shared" si="14"/>
        <v/>
      </c>
      <c r="K135" s="332">
        <f>'C5Q'!V26</f>
        <v>0</v>
      </c>
      <c r="L135" s="353"/>
      <c r="M135" s="354"/>
      <c r="N135" s="354"/>
      <c r="O135" s="354"/>
      <c r="P135" s="354"/>
      <c r="Q135" s="354"/>
      <c r="R135" s="354"/>
      <c r="S135" s="354"/>
      <c r="T135" s="354"/>
      <c r="U135" s="354"/>
      <c r="V135" s="354"/>
      <c r="W135" s="354"/>
    </row>
    <row r="136" spans="1:23" ht="11.25" customHeight="1" x14ac:dyDescent="0.25">
      <c r="A136" s="66" t="str">
        <f>'Org structure'!A4</f>
        <v>Vote 3 - COMMUNITY SERVICES - PROTECTION SERVICES</v>
      </c>
      <c r="B136" s="132"/>
      <c r="C136" s="707">
        <f t="shared" ref="C136:H136" si="25">SUM(C137:C140)</f>
        <v>106802.4</v>
      </c>
      <c r="D136" s="723">
        <f t="shared" si="25"/>
        <v>64000</v>
      </c>
      <c r="E136" s="349">
        <f t="shared" si="25"/>
        <v>85000</v>
      </c>
      <c r="F136" s="350">
        <f t="shared" si="25"/>
        <v>0</v>
      </c>
      <c r="G136" s="349">
        <f t="shared" si="25"/>
        <v>38876</v>
      </c>
      <c r="H136" s="350">
        <f t="shared" si="25"/>
        <v>83876</v>
      </c>
      <c r="I136" s="34">
        <f t="shared" si="22"/>
        <v>-45000</v>
      </c>
      <c r="J136" s="405">
        <f t="shared" ref="J136:J199" si="26">IF(H136=0,"",I136/H136)</f>
        <v>-0.53650627116219185</v>
      </c>
      <c r="K136" s="707">
        <f>SUM(K137:K140)</f>
        <v>85000</v>
      </c>
      <c r="L136" s="353"/>
      <c r="M136" s="354"/>
      <c r="N136" s="354"/>
      <c r="O136" s="354"/>
      <c r="P136" s="354"/>
      <c r="Q136" s="354"/>
      <c r="R136" s="354"/>
      <c r="S136" s="354"/>
      <c r="T136" s="354"/>
      <c r="U136" s="354"/>
      <c r="V136" s="354"/>
      <c r="W136" s="354"/>
    </row>
    <row r="137" spans="1:23" ht="11.25" customHeight="1" x14ac:dyDescent="0.25">
      <c r="A137" s="30" t="str">
        <f>'Org structure'!E28</f>
        <v>3,1 - FX005001012 - Security Services (Finance and Administration) - BP</v>
      </c>
      <c r="B137" s="197"/>
      <c r="C137" s="332">
        <f>'C5Q'!N28</f>
        <v>0</v>
      </c>
      <c r="D137" s="704">
        <f>'C5Q'!O28</f>
        <v>19000</v>
      </c>
      <c r="E137" s="365">
        <f>'C5Q'!P28</f>
        <v>40000</v>
      </c>
      <c r="F137" s="365">
        <f>'C5Q'!Q28</f>
        <v>0</v>
      </c>
      <c r="G137" s="365">
        <f>'C5Q'!R28</f>
        <v>38876</v>
      </c>
      <c r="H137" s="365">
        <f>'C5Q'!S28</f>
        <v>38876</v>
      </c>
      <c r="I137" s="34">
        <f t="shared" si="22"/>
        <v>0</v>
      </c>
      <c r="J137" s="405">
        <f t="shared" si="26"/>
        <v>0</v>
      </c>
      <c r="K137" s="332">
        <f>'C5Q'!V28</f>
        <v>40000</v>
      </c>
      <c r="L137" s="704">
        <f>'C5Q'!W28</f>
        <v>0</v>
      </c>
      <c r="M137" s="365">
        <f>'C5Q'!X28</f>
        <v>0</v>
      </c>
      <c r="N137" s="365">
        <f>'C5Q'!Y28</f>
        <v>0</v>
      </c>
      <c r="O137" s="365">
        <f>'C5Q'!Z28</f>
        <v>0</v>
      </c>
      <c r="P137" s="365">
        <f>'C5Q'!AA28</f>
        <v>0</v>
      </c>
      <c r="Q137" s="365">
        <f>'C5Q'!AB28</f>
        <v>0</v>
      </c>
      <c r="R137" s="365">
        <f>'C5Q'!AC28</f>
        <v>0</v>
      </c>
      <c r="S137" s="365">
        <f>'C5Q'!AD28</f>
        <v>0</v>
      </c>
      <c r="T137" s="365">
        <f>'C5Q'!AE28</f>
        <v>0</v>
      </c>
      <c r="U137" s="365">
        <f>'C5Q'!AF28</f>
        <v>0</v>
      </c>
      <c r="V137" s="365">
        <f>'C5Q'!AG28</f>
        <v>0</v>
      </c>
      <c r="W137" s="365">
        <f>'C5Q'!AH28</f>
        <v>0</v>
      </c>
    </row>
    <row r="138" spans="1:23" ht="11.25" customHeight="1" x14ac:dyDescent="0.25">
      <c r="A138" s="30" t="str">
        <f>'Org structure'!E29</f>
        <v>3,2 - FX011001007 - Police Forces, Traffic and Street Parking Control (Road Transport) - CQ</v>
      </c>
      <c r="B138" s="197"/>
      <c r="C138" s="332">
        <f>'C5Q'!N29</f>
        <v>81202.399999999994</v>
      </c>
      <c r="D138" s="704">
        <f>'C5Q'!O29</f>
        <v>45000</v>
      </c>
      <c r="E138" s="365">
        <f>'C5Q'!P29</f>
        <v>45000</v>
      </c>
      <c r="F138" s="365">
        <f>'C5Q'!Q29</f>
        <v>0</v>
      </c>
      <c r="G138" s="365">
        <f>'C5Q'!R29</f>
        <v>0</v>
      </c>
      <c r="H138" s="365">
        <f>'C5Q'!S29</f>
        <v>45000</v>
      </c>
      <c r="I138" s="34">
        <f t="shared" si="22"/>
        <v>-45000</v>
      </c>
      <c r="J138" s="405">
        <f t="shared" si="26"/>
        <v>-1</v>
      </c>
      <c r="K138" s="332">
        <f>'C5Q'!V29</f>
        <v>45000</v>
      </c>
      <c r="L138" s="704">
        <f>'C5Q'!W29</f>
        <v>0</v>
      </c>
      <c r="M138" s="365">
        <f>'C5Q'!X29</f>
        <v>0</v>
      </c>
      <c r="N138" s="365">
        <f>'C5Q'!Y29</f>
        <v>0</v>
      </c>
      <c r="O138" s="365">
        <f>'C5Q'!Z29</f>
        <v>0</v>
      </c>
      <c r="P138" s="365">
        <f>'C5Q'!AA29</f>
        <v>0</v>
      </c>
      <c r="Q138" s="365">
        <f>'C5Q'!AB29</f>
        <v>0</v>
      </c>
      <c r="R138" s="365">
        <f>'C5Q'!AC29</f>
        <v>0</v>
      </c>
      <c r="S138" s="365">
        <f>'C5Q'!AD29</f>
        <v>0</v>
      </c>
      <c r="T138" s="365">
        <f>'C5Q'!AE29</f>
        <v>0</v>
      </c>
      <c r="U138" s="365">
        <f>'C5Q'!AF29</f>
        <v>0</v>
      </c>
      <c r="V138" s="365">
        <f>'C5Q'!AG29</f>
        <v>0</v>
      </c>
      <c r="W138" s="365">
        <f>'C5Q'!AH29</f>
        <v>0</v>
      </c>
    </row>
    <row r="139" spans="1:23" ht="11.25" customHeight="1" x14ac:dyDescent="0.25">
      <c r="A139" s="30" t="str">
        <f>'Org structure'!E30</f>
        <v>3,3 - FX012002001 - Road and Traffic Regulation (Road Transport) - CR</v>
      </c>
      <c r="B139" s="197"/>
      <c r="C139" s="332">
        <f>'C5Q'!N30</f>
        <v>25600</v>
      </c>
      <c r="D139" s="704">
        <f>'C5Q'!O30</f>
        <v>0</v>
      </c>
      <c r="E139" s="365">
        <f>'C5Q'!P30</f>
        <v>0</v>
      </c>
      <c r="F139" s="365">
        <f>'C5Q'!Q30</f>
        <v>0</v>
      </c>
      <c r="G139" s="365">
        <f>'C5Q'!R30</f>
        <v>0</v>
      </c>
      <c r="H139" s="365">
        <f>'C5Q'!S30</f>
        <v>0</v>
      </c>
      <c r="I139" s="34">
        <f t="shared" si="22"/>
        <v>0</v>
      </c>
      <c r="J139" s="405" t="str">
        <f t="shared" si="26"/>
        <v/>
      </c>
      <c r="K139" s="332">
        <f>'C5Q'!V30</f>
        <v>0</v>
      </c>
      <c r="L139" s="704">
        <f>'C5Q'!W30</f>
        <v>0</v>
      </c>
      <c r="M139" s="365">
        <f>'C5Q'!X30</f>
        <v>0</v>
      </c>
      <c r="N139" s="365">
        <f>'C5Q'!Y30</f>
        <v>0</v>
      </c>
      <c r="O139" s="365">
        <f>'C5Q'!Z30</f>
        <v>0</v>
      </c>
      <c r="P139" s="365">
        <f>'C5Q'!AA30</f>
        <v>0</v>
      </c>
      <c r="Q139" s="365">
        <f>'C5Q'!AB30</f>
        <v>0</v>
      </c>
      <c r="R139" s="365">
        <f>'C5Q'!AC30</f>
        <v>0</v>
      </c>
      <c r="S139" s="365">
        <f>'C5Q'!AD30</f>
        <v>0</v>
      </c>
      <c r="T139" s="365">
        <f>'C5Q'!AE30</f>
        <v>0</v>
      </c>
      <c r="U139" s="365">
        <f>'C5Q'!AF30</f>
        <v>0</v>
      </c>
      <c r="V139" s="365">
        <f>'C5Q'!AG30</f>
        <v>0</v>
      </c>
      <c r="W139" s="365">
        <f>'C5Q'!AH30</f>
        <v>0</v>
      </c>
    </row>
    <row r="140" spans="1:23" ht="11.25" customHeight="1" x14ac:dyDescent="0.25">
      <c r="A140" s="30" t="str">
        <f>'Org structure'!E31</f>
        <v>3,4 - FX011001006 - Public Safety Licensing and Control of Animals - CU</v>
      </c>
      <c r="B140" s="197"/>
      <c r="C140" s="332">
        <f>'C5Q'!N31</f>
        <v>0</v>
      </c>
      <c r="D140" s="704">
        <f>'C5Q'!O31</f>
        <v>0</v>
      </c>
      <c r="E140" s="365">
        <f>'C5Q'!P31</f>
        <v>0</v>
      </c>
      <c r="F140" s="365">
        <f>'C5Q'!Q31</f>
        <v>0</v>
      </c>
      <c r="G140" s="365">
        <f>'C5Q'!R31</f>
        <v>0</v>
      </c>
      <c r="H140" s="365">
        <f>'C5Q'!S31</f>
        <v>0</v>
      </c>
      <c r="I140" s="34">
        <f t="shared" si="22"/>
        <v>0</v>
      </c>
      <c r="J140" s="405" t="str">
        <f t="shared" si="26"/>
        <v/>
      </c>
      <c r="K140" s="332">
        <f>'C5Q'!V31</f>
        <v>0</v>
      </c>
      <c r="L140" s="704">
        <f>'C5Q'!W31</f>
        <v>0</v>
      </c>
      <c r="M140" s="365">
        <f>'C5Q'!X31</f>
        <v>0</v>
      </c>
      <c r="N140" s="365">
        <f>'C5Q'!Y31</f>
        <v>0</v>
      </c>
      <c r="O140" s="365">
        <f>'C5Q'!Z31</f>
        <v>0</v>
      </c>
      <c r="P140" s="365">
        <f>'C5Q'!AA31</f>
        <v>0</v>
      </c>
      <c r="Q140" s="365">
        <f>'C5Q'!AB31</f>
        <v>0</v>
      </c>
      <c r="R140" s="365">
        <f>'C5Q'!AC31</f>
        <v>0</v>
      </c>
      <c r="S140" s="365">
        <f>'C5Q'!AD31</f>
        <v>0</v>
      </c>
      <c r="T140" s="365">
        <f>'C5Q'!AE31</f>
        <v>0</v>
      </c>
      <c r="U140" s="365">
        <f>'C5Q'!AF31</f>
        <v>0</v>
      </c>
      <c r="V140" s="365">
        <f>'C5Q'!AG31</f>
        <v>0</v>
      </c>
      <c r="W140" s="365">
        <f>'C5Q'!AH31</f>
        <v>0</v>
      </c>
    </row>
    <row r="141" spans="1:23" ht="11.25" customHeight="1" x14ac:dyDescent="0.25">
      <c r="A141" s="66" t="str">
        <f>'Org structure'!A5</f>
        <v>Vote 4 - COMMUNITY SERVICES - RECREATIONAL AND ENVIRONMENTAL SERVICES</v>
      </c>
      <c r="B141" s="132"/>
      <c r="C141" s="707">
        <f>SUM(C142:C154)</f>
        <v>9050848.0299999993</v>
      </c>
      <c r="D141" s="350">
        <f t="shared" ref="D141:K141" si="27">SUM(D142:D154)</f>
        <v>373000</v>
      </c>
      <c r="E141" s="348">
        <f t="shared" si="27"/>
        <v>628200</v>
      </c>
      <c r="F141" s="348">
        <f t="shared" si="27"/>
        <v>0</v>
      </c>
      <c r="G141" s="348">
        <f t="shared" si="27"/>
        <v>177691.5</v>
      </c>
      <c r="H141" s="348">
        <f t="shared" si="27"/>
        <v>177691.5</v>
      </c>
      <c r="I141" s="34">
        <f t="shared" si="22"/>
        <v>0</v>
      </c>
      <c r="J141" s="405">
        <f t="shared" si="26"/>
        <v>0</v>
      </c>
      <c r="K141" s="707">
        <f t="shared" si="27"/>
        <v>628200</v>
      </c>
      <c r="L141" s="353"/>
      <c r="M141" s="354"/>
      <c r="N141" s="354"/>
      <c r="O141" s="354"/>
      <c r="P141" s="354"/>
      <c r="Q141" s="354"/>
      <c r="R141" s="354"/>
      <c r="S141" s="354"/>
      <c r="T141" s="354"/>
      <c r="U141" s="354"/>
      <c r="V141" s="354"/>
      <c r="W141" s="354"/>
    </row>
    <row r="142" spans="1:23" ht="11.25" customHeight="1" x14ac:dyDescent="0.25">
      <c r="A142" s="30" t="str">
        <f>'Org structure'!E39</f>
        <v>4,1 - FX001001003 - Cemeteries, Funeral Parlours and Crematoriums (Community and Social Services) - AA</v>
      </c>
      <c r="B142" s="197"/>
      <c r="C142" s="332">
        <f>'C5Q'!N33</f>
        <v>42500</v>
      </c>
      <c r="D142" s="704">
        <f>'C5Q'!O33</f>
        <v>0</v>
      </c>
      <c r="E142" s="365">
        <f>'C5Q'!P33</f>
        <v>0</v>
      </c>
      <c r="F142" s="365">
        <f>'C5Q'!Q33</f>
        <v>0</v>
      </c>
      <c r="G142" s="365">
        <f>'C5Q'!R33</f>
        <v>0</v>
      </c>
      <c r="H142" s="365">
        <f>'C5Q'!S33</f>
        <v>0</v>
      </c>
      <c r="I142" s="34">
        <f t="shared" si="22"/>
        <v>0</v>
      </c>
      <c r="J142" s="405" t="str">
        <f t="shared" si="26"/>
        <v/>
      </c>
      <c r="K142" s="332">
        <f>'C5Q'!V33</f>
        <v>0</v>
      </c>
      <c r="L142" s="704" t="str">
        <f>'C5Q'!A35</f>
        <v>4.3 - FX001001006001- Libraries and Archives - AE</v>
      </c>
      <c r="M142" s="365">
        <f>'C5Q'!B35</f>
        <v>0</v>
      </c>
      <c r="N142" s="365">
        <f>'C5Q'!C35</f>
        <v>0</v>
      </c>
      <c r="O142" s="365">
        <f>'C5Q'!D35</f>
        <v>0</v>
      </c>
      <c r="P142" s="365">
        <f>'C5Q'!E35</f>
        <v>0</v>
      </c>
      <c r="Q142" s="365">
        <f>'C5Q'!F35</f>
        <v>120450</v>
      </c>
      <c r="R142" s="365">
        <f>'C5Q'!G35</f>
        <v>0</v>
      </c>
      <c r="S142" s="365">
        <f>'C5Q'!H35</f>
        <v>-120450</v>
      </c>
      <c r="T142" s="365">
        <f>'C5Q'!I35</f>
        <v>0</v>
      </c>
      <c r="U142" s="365">
        <f>'C5Q'!J35</f>
        <v>0</v>
      </c>
      <c r="V142" s="365">
        <f>'C5Q'!K35</f>
        <v>0</v>
      </c>
      <c r="W142" s="365">
        <f>'C5Q'!L35</f>
        <v>0</v>
      </c>
    </row>
    <row r="143" spans="1:23" ht="11.25" customHeight="1" x14ac:dyDescent="0.25">
      <c r="A143" s="30" t="str">
        <f>'Org structure'!E40</f>
        <v>4,2 - FX001001005002 - Halls (Community and Social Services) - AC</v>
      </c>
      <c r="B143" s="197"/>
      <c r="C143" s="332">
        <f>'C5Q'!N34</f>
        <v>248319</v>
      </c>
      <c r="D143" s="704">
        <f>'C5Q'!O34</f>
        <v>0</v>
      </c>
      <c r="E143" s="365">
        <f>'C5Q'!P34</f>
        <v>0</v>
      </c>
      <c r="F143" s="365">
        <f>'C5Q'!Q34</f>
        <v>0</v>
      </c>
      <c r="G143" s="365">
        <f>'C5Q'!R34</f>
        <v>0</v>
      </c>
      <c r="H143" s="365">
        <f>'C5Q'!S34</f>
        <v>0</v>
      </c>
      <c r="I143" s="34">
        <f t="shared" si="22"/>
        <v>0</v>
      </c>
      <c r="J143" s="405" t="str">
        <f t="shared" si="26"/>
        <v/>
      </c>
      <c r="K143" s="332">
        <f>'C5Q'!V34</f>
        <v>0</v>
      </c>
      <c r="L143" s="353"/>
      <c r="M143" s="354"/>
      <c r="N143" s="354"/>
      <c r="O143" s="354"/>
      <c r="P143" s="354"/>
      <c r="Q143" s="354"/>
      <c r="R143" s="354"/>
      <c r="S143" s="354"/>
      <c r="T143" s="354"/>
      <c r="U143" s="354"/>
      <c r="V143" s="354"/>
      <c r="W143" s="354"/>
    </row>
    <row r="144" spans="1:23" ht="11.25" customHeight="1" x14ac:dyDescent="0.25">
      <c r="A144" s="30" t="str">
        <f>'Org structure'!E41</f>
        <v>4,3 - FX001001006001 - Libraries and Archives (Community and Social Services) - AE</v>
      </c>
      <c r="B144" s="197"/>
      <c r="C144" s="332">
        <f>'C5Q'!N35</f>
        <v>4054616.69</v>
      </c>
      <c r="D144" s="704">
        <f>'C5Q'!O35</f>
        <v>18000</v>
      </c>
      <c r="E144" s="365">
        <f>'C5Q'!P35</f>
        <v>18000</v>
      </c>
      <c r="F144" s="365">
        <f>'C5Q'!Q35</f>
        <v>0</v>
      </c>
      <c r="G144" s="365">
        <f>'C5Q'!R35</f>
        <v>1494</v>
      </c>
      <c r="H144" s="365">
        <f>'C5Q'!S35</f>
        <v>1494</v>
      </c>
      <c r="I144" s="34">
        <f t="shared" si="22"/>
        <v>0</v>
      </c>
      <c r="J144" s="405">
        <f t="shared" si="26"/>
        <v>0</v>
      </c>
      <c r="K144" s="332">
        <f>'C5Q'!V35</f>
        <v>18000</v>
      </c>
      <c r="L144" s="353"/>
      <c r="M144" s="354"/>
      <c r="N144" s="354"/>
      <c r="O144" s="354"/>
      <c r="P144" s="354"/>
      <c r="Q144" s="354"/>
      <c r="R144" s="354"/>
      <c r="S144" s="354"/>
      <c r="T144" s="354"/>
      <c r="U144" s="354"/>
      <c r="V144" s="354"/>
      <c r="W144" s="354"/>
    </row>
    <row r="145" spans="1:23" ht="11.25" customHeight="1" x14ac:dyDescent="0.25">
      <c r="A145" s="30" t="str">
        <f>'Org structure'!E42</f>
        <v>4,4 - FX001001006002 - Cyber Cadets (Community and Social Services) - AF</v>
      </c>
      <c r="B145" s="197"/>
      <c r="C145" s="332">
        <f>'C5Q'!N36</f>
        <v>0</v>
      </c>
      <c r="D145" s="704">
        <f>'C5Q'!O36</f>
        <v>0</v>
      </c>
      <c r="E145" s="365">
        <f>'C5Q'!P36</f>
        <v>0</v>
      </c>
      <c r="F145" s="365">
        <f>'C5Q'!Q36</f>
        <v>0</v>
      </c>
      <c r="G145" s="365">
        <f>'C5Q'!R36</f>
        <v>0</v>
      </c>
      <c r="H145" s="365">
        <f>'C5Q'!S36</f>
        <v>0</v>
      </c>
      <c r="I145" s="34">
        <f t="shared" si="22"/>
        <v>0</v>
      </c>
      <c r="J145" s="405" t="str">
        <f t="shared" si="26"/>
        <v/>
      </c>
      <c r="K145" s="332">
        <f>'C5Q'!V36</f>
        <v>0</v>
      </c>
      <c r="L145" s="353"/>
      <c r="M145" s="354"/>
      <c r="N145" s="354"/>
      <c r="O145" s="354"/>
      <c r="P145" s="354"/>
      <c r="Q145" s="354"/>
      <c r="R145" s="354"/>
      <c r="S145" s="354"/>
      <c r="T145" s="354"/>
      <c r="U145" s="354"/>
      <c r="V145" s="354"/>
      <c r="W145" s="354"/>
    </row>
    <row r="146" spans="1:23" ht="11.25" customHeight="1" x14ac:dyDescent="0.25">
      <c r="A146" s="30" t="str">
        <f>'Org structure'!E43</f>
        <v>4,5 - FX001001008 - Museums and Art Galleries (Community and Social Services) - AG</v>
      </c>
      <c r="B146" s="197"/>
      <c r="C146" s="332">
        <f>'C5Q'!N37</f>
        <v>0</v>
      </c>
      <c r="D146" s="704">
        <f>'C5Q'!O37</f>
        <v>0</v>
      </c>
      <c r="E146" s="365">
        <f>'C5Q'!P37</f>
        <v>0</v>
      </c>
      <c r="F146" s="365">
        <f>'C5Q'!Q37</f>
        <v>0</v>
      </c>
      <c r="G146" s="365">
        <f>'C5Q'!R37</f>
        <v>0</v>
      </c>
      <c r="H146" s="365">
        <f>'C5Q'!S37</f>
        <v>0</v>
      </c>
      <c r="I146" s="34">
        <f t="shared" si="22"/>
        <v>0</v>
      </c>
      <c r="J146" s="405" t="str">
        <f t="shared" si="26"/>
        <v/>
      </c>
      <c r="K146" s="332">
        <f>'C5Q'!V37</f>
        <v>0</v>
      </c>
      <c r="L146" s="353"/>
      <c r="M146" s="354"/>
      <c r="N146" s="354"/>
      <c r="O146" s="354"/>
      <c r="P146" s="354"/>
      <c r="Q146" s="354"/>
      <c r="R146" s="354"/>
      <c r="S146" s="354"/>
      <c r="T146" s="354"/>
      <c r="U146" s="354"/>
      <c r="V146" s="354"/>
      <c r="W146" s="354"/>
    </row>
    <row r="147" spans="1:23" ht="11.25" customHeight="1" x14ac:dyDescent="0.25">
      <c r="A147" s="30" t="str">
        <f>'Org structure'!E44</f>
        <v>4,6 - FX001002007 - Cultural Matters (Community and Social Services) - CV</v>
      </c>
      <c r="B147" s="197"/>
      <c r="C147" s="332">
        <f>'C5Q'!N38</f>
        <v>0</v>
      </c>
      <c r="D147" s="704">
        <f>'C5Q'!O38</f>
        <v>0</v>
      </c>
      <c r="E147" s="365">
        <f>'C5Q'!P38</f>
        <v>0</v>
      </c>
      <c r="F147" s="365">
        <f>'C5Q'!Q38</f>
        <v>0</v>
      </c>
      <c r="G147" s="365">
        <f>'C5Q'!R38</f>
        <v>0</v>
      </c>
      <c r="H147" s="365">
        <f>'C5Q'!S38</f>
        <v>0</v>
      </c>
      <c r="I147" s="34">
        <f t="shared" si="22"/>
        <v>0</v>
      </c>
      <c r="J147" s="405" t="str">
        <f t="shared" si="26"/>
        <v/>
      </c>
      <c r="K147" s="332">
        <f>'C5Q'!V38</f>
        <v>0</v>
      </c>
      <c r="L147" s="353"/>
      <c r="M147" s="354"/>
      <c r="N147" s="354"/>
      <c r="O147" s="354"/>
      <c r="P147" s="354"/>
      <c r="Q147" s="354"/>
      <c r="R147" s="354"/>
      <c r="S147" s="354"/>
      <c r="T147" s="354"/>
      <c r="U147" s="354"/>
      <c r="V147" s="354"/>
      <c r="W147" s="354"/>
    </row>
    <row r="148" spans="1:23" ht="11.25" customHeight="1" x14ac:dyDescent="0.25">
      <c r="A148" s="30" t="str">
        <f>'Org structure'!E45</f>
        <v>4,7 - FX013001001 - Beaches and Jetties (Community and Social Services) - CS</v>
      </c>
      <c r="B148" s="197"/>
      <c r="C148" s="332">
        <f>'C5Q'!N39</f>
        <v>99271</v>
      </c>
      <c r="D148" s="704">
        <f>'C5Q'!O39</f>
        <v>22000</v>
      </c>
      <c r="E148" s="365">
        <f>'C5Q'!P39</f>
        <v>312000</v>
      </c>
      <c r="F148" s="365">
        <f>'C5Q'!Q39</f>
        <v>0</v>
      </c>
      <c r="G148" s="365">
        <f>'C5Q'!R39</f>
        <v>176197.5</v>
      </c>
      <c r="H148" s="365">
        <f>'C5Q'!S39</f>
        <v>176197.5</v>
      </c>
      <c r="I148" s="34">
        <f t="shared" si="22"/>
        <v>0</v>
      </c>
      <c r="J148" s="405">
        <f t="shared" si="26"/>
        <v>0</v>
      </c>
      <c r="K148" s="332">
        <f>'C5Q'!V39</f>
        <v>312000</v>
      </c>
      <c r="L148" s="353"/>
      <c r="M148" s="354"/>
      <c r="N148" s="354"/>
      <c r="O148" s="354"/>
      <c r="P148" s="354"/>
      <c r="Q148" s="354"/>
      <c r="R148" s="354"/>
      <c r="S148" s="354"/>
      <c r="T148" s="354"/>
      <c r="U148" s="354"/>
      <c r="V148" s="354"/>
      <c r="W148" s="354"/>
    </row>
    <row r="149" spans="1:23" ht="11.25" customHeight="1" x14ac:dyDescent="0.25">
      <c r="A149" s="30" t="str">
        <f>'Org structure'!E46</f>
        <v>4,8 - FX013001002 - Community Parks (including Nurseries) (Sport and Recreation) - CT</v>
      </c>
      <c r="B149" s="197"/>
      <c r="C149" s="332">
        <f>'C5Q'!N40</f>
        <v>723486.78</v>
      </c>
      <c r="D149" s="704">
        <f>'C5Q'!O40</f>
        <v>257000</v>
      </c>
      <c r="E149" s="365">
        <f>'C5Q'!P40</f>
        <v>222200</v>
      </c>
      <c r="F149" s="365">
        <f>'C5Q'!Q40</f>
        <v>0</v>
      </c>
      <c r="G149" s="365">
        <f>'C5Q'!R40</f>
        <v>0</v>
      </c>
      <c r="H149" s="365">
        <f>'C5Q'!S40</f>
        <v>0</v>
      </c>
      <c r="I149" s="34">
        <f t="shared" si="22"/>
        <v>0</v>
      </c>
      <c r="J149" s="405" t="str">
        <f t="shared" si="26"/>
        <v/>
      </c>
      <c r="K149" s="332">
        <f>'C5Q'!V40</f>
        <v>222200</v>
      </c>
      <c r="L149" s="353"/>
      <c r="M149" s="354"/>
      <c r="N149" s="354"/>
      <c r="O149" s="354"/>
      <c r="P149" s="354"/>
      <c r="Q149" s="354"/>
      <c r="R149" s="354"/>
      <c r="S149" s="354"/>
      <c r="T149" s="354"/>
      <c r="U149" s="354"/>
      <c r="V149" s="354"/>
      <c r="W149" s="354"/>
    </row>
    <row r="150" spans="1:23" ht="11.25" customHeight="1" x14ac:dyDescent="0.25">
      <c r="A150" s="30" t="str">
        <f>'Org structure'!E47</f>
        <v>4,9 - FX013002003001 - Recreational Facilities - Caravan Park (Sport and Recreation) - CW</v>
      </c>
      <c r="B150" s="197"/>
      <c r="C150" s="332">
        <f>'C5Q'!N41</f>
        <v>0</v>
      </c>
      <c r="D150" s="704">
        <f>'C5Q'!O41</f>
        <v>0</v>
      </c>
      <c r="E150" s="365">
        <f>'C5Q'!P41</f>
        <v>0</v>
      </c>
      <c r="F150" s="365">
        <f>'C5Q'!Q41</f>
        <v>0</v>
      </c>
      <c r="G150" s="365">
        <f>'C5Q'!R41</f>
        <v>0</v>
      </c>
      <c r="H150" s="365">
        <f>'C5Q'!S41</f>
        <v>0</v>
      </c>
      <c r="I150" s="34">
        <f t="shared" si="22"/>
        <v>0</v>
      </c>
      <c r="J150" s="405" t="str">
        <f t="shared" si="26"/>
        <v/>
      </c>
      <c r="K150" s="332">
        <f>'C5Q'!V41</f>
        <v>0</v>
      </c>
      <c r="L150" s="353"/>
      <c r="M150" s="354"/>
      <c r="N150" s="354"/>
      <c r="O150" s="354"/>
      <c r="P150" s="354"/>
      <c r="Q150" s="354"/>
      <c r="R150" s="354"/>
      <c r="S150" s="354"/>
      <c r="T150" s="354"/>
      <c r="U150" s="354"/>
      <c r="V150" s="354"/>
      <c r="W150" s="354"/>
    </row>
    <row r="151" spans="1:23" ht="11.25" customHeight="1" x14ac:dyDescent="0.25">
      <c r="A151" s="30" t="str">
        <f>'Org structure'!E48</f>
        <v>4.10 - FX013002003002 - Recreational Facilities - Parks Administration (Sport and Recreation) - CX</v>
      </c>
      <c r="B151" s="197"/>
      <c r="C151" s="332">
        <f>'C5Q'!N42</f>
        <v>0</v>
      </c>
      <c r="D151" s="704">
        <f>'C5Q'!O42</f>
        <v>1000</v>
      </c>
      <c r="E151" s="365">
        <f>'C5Q'!P42</f>
        <v>1000</v>
      </c>
      <c r="F151" s="365">
        <f>'C5Q'!Q42</f>
        <v>0</v>
      </c>
      <c r="G151" s="365">
        <f>'C5Q'!R42</f>
        <v>0</v>
      </c>
      <c r="H151" s="365">
        <f>'C5Q'!S42</f>
        <v>0</v>
      </c>
      <c r="I151" s="34">
        <f t="shared" si="22"/>
        <v>0</v>
      </c>
      <c r="J151" s="405" t="str">
        <f t="shared" si="26"/>
        <v/>
      </c>
      <c r="K151" s="332">
        <f>'C5Q'!V42</f>
        <v>1000</v>
      </c>
      <c r="L151" s="353"/>
      <c r="M151" s="354"/>
      <c r="N151" s="354"/>
      <c r="O151" s="354"/>
      <c r="P151" s="354"/>
      <c r="Q151" s="354"/>
      <c r="R151" s="354"/>
      <c r="S151" s="354"/>
      <c r="T151" s="354"/>
      <c r="U151" s="354"/>
      <c r="V151" s="354"/>
      <c r="W151" s="354"/>
    </row>
    <row r="152" spans="1:23" ht="11.25" customHeight="1" x14ac:dyDescent="0.25">
      <c r="A152" s="30" t="str">
        <f>'Org structure'!E49</f>
        <v>4.11 - FX013002003003 - Recreational Facilities - Swimming Pools (Sport and Recreation) - CY</v>
      </c>
      <c r="B152" s="197"/>
      <c r="C152" s="332">
        <f>'C5Q'!N43</f>
        <v>82917</v>
      </c>
      <c r="D152" s="704">
        <f>'C5Q'!O43</f>
        <v>75000</v>
      </c>
      <c r="E152" s="365">
        <f>'C5Q'!P43</f>
        <v>75000</v>
      </c>
      <c r="F152" s="365">
        <f>'C5Q'!Q43</f>
        <v>0</v>
      </c>
      <c r="G152" s="365">
        <f>'C5Q'!R43</f>
        <v>0</v>
      </c>
      <c r="H152" s="365">
        <f>'C5Q'!S43</f>
        <v>0</v>
      </c>
      <c r="I152" s="34">
        <f t="shared" si="22"/>
        <v>0</v>
      </c>
      <c r="J152" s="405" t="str">
        <f t="shared" si="26"/>
        <v/>
      </c>
      <c r="K152" s="332">
        <f>'C5Q'!V43</f>
        <v>75000</v>
      </c>
      <c r="L152" s="353"/>
      <c r="M152" s="354"/>
      <c r="N152" s="354"/>
      <c r="O152" s="354"/>
      <c r="P152" s="354"/>
      <c r="Q152" s="354"/>
      <c r="R152" s="354"/>
      <c r="S152" s="354"/>
      <c r="T152" s="354"/>
      <c r="U152" s="354"/>
      <c r="V152" s="354"/>
      <c r="W152" s="354"/>
    </row>
    <row r="153" spans="1:23" ht="11.25" customHeight="1" x14ac:dyDescent="0.25">
      <c r="A153" s="30" t="str">
        <f>'Org structure'!E50</f>
        <v>4.12 - FX013002004001 - Sport Development and Sportfields (Sport and Recreation) - CZ</v>
      </c>
      <c r="B153" s="197"/>
      <c r="C153" s="332">
        <f>'C5Q'!N44</f>
        <v>3799737.56</v>
      </c>
      <c r="D153" s="704">
        <f>'C5Q'!O44</f>
        <v>0</v>
      </c>
      <c r="E153" s="365">
        <f>'C5Q'!P44</f>
        <v>0</v>
      </c>
      <c r="F153" s="365">
        <f>'C5Q'!Q44</f>
        <v>0</v>
      </c>
      <c r="G153" s="365">
        <f>'C5Q'!R44</f>
        <v>0</v>
      </c>
      <c r="H153" s="365">
        <f>'C5Q'!S44</f>
        <v>0</v>
      </c>
      <c r="I153" s="34">
        <f t="shared" si="22"/>
        <v>0</v>
      </c>
      <c r="J153" s="405" t="str">
        <f t="shared" si="26"/>
        <v/>
      </c>
      <c r="K153" s="332">
        <f>'C5Q'!V44</f>
        <v>0</v>
      </c>
      <c r="L153" s="353"/>
      <c r="M153" s="354"/>
      <c r="N153" s="354"/>
      <c r="O153" s="354"/>
      <c r="P153" s="354"/>
      <c r="Q153" s="354"/>
      <c r="R153" s="354"/>
      <c r="S153" s="354"/>
      <c r="T153" s="354"/>
      <c r="U153" s="354"/>
      <c r="V153" s="354"/>
      <c r="W153" s="354"/>
    </row>
    <row r="154" spans="1:23" ht="11.25" customHeight="1" x14ac:dyDescent="0.25">
      <c r="A154" s="30" t="str">
        <f>'Org structure'!E51</f>
        <v>4.13 - FX013002004002 - Sports Grounds and Stadiums -Stadiums (Sport and Recreation) - DB</v>
      </c>
      <c r="B154" s="197"/>
      <c r="C154" s="332">
        <f>'C5Q'!N45</f>
        <v>0</v>
      </c>
      <c r="D154" s="704">
        <f>'C5Q'!O45</f>
        <v>0</v>
      </c>
      <c r="E154" s="365">
        <f>'C5Q'!P45</f>
        <v>0</v>
      </c>
      <c r="F154" s="365">
        <f>'C5Q'!Q45</f>
        <v>0</v>
      </c>
      <c r="G154" s="365">
        <f>'C5Q'!R45</f>
        <v>0</v>
      </c>
      <c r="H154" s="365">
        <f>'C5Q'!S45</f>
        <v>0</v>
      </c>
      <c r="I154" s="34">
        <f t="shared" si="22"/>
        <v>0</v>
      </c>
      <c r="J154" s="405" t="str">
        <f t="shared" si="26"/>
        <v/>
      </c>
      <c r="K154" s="332">
        <f>'C5Q'!V45</f>
        <v>0</v>
      </c>
      <c r="L154" s="353"/>
      <c r="M154" s="354"/>
      <c r="N154" s="354"/>
      <c r="O154" s="354"/>
      <c r="P154" s="354"/>
      <c r="Q154" s="354"/>
      <c r="R154" s="354"/>
      <c r="S154" s="354"/>
      <c r="T154" s="354"/>
      <c r="U154" s="354"/>
      <c r="V154" s="354"/>
      <c r="W154" s="354"/>
    </row>
    <row r="155" spans="1:23" ht="11.25" customHeight="1" x14ac:dyDescent="0.25">
      <c r="A155" s="66" t="str">
        <f>'Org structure'!A6</f>
        <v>Vote 5 - CORPORATE SERVICES - ADMINISTRATION</v>
      </c>
      <c r="B155" s="132"/>
      <c r="C155" s="707">
        <f t="shared" ref="C155:H155" si="28">SUM(C156:C158)</f>
        <v>4439071.49</v>
      </c>
      <c r="D155" s="723">
        <f t="shared" si="28"/>
        <v>8417000</v>
      </c>
      <c r="E155" s="349">
        <f t="shared" si="28"/>
        <v>10113800</v>
      </c>
      <c r="F155" s="350">
        <f t="shared" si="28"/>
        <v>27533</v>
      </c>
      <c r="G155" s="349">
        <f t="shared" si="28"/>
        <v>10261837</v>
      </c>
      <c r="H155" s="350">
        <f t="shared" si="28"/>
        <v>12008667</v>
      </c>
      <c r="I155" s="34">
        <f t="shared" si="22"/>
        <v>-1746830</v>
      </c>
      <c r="J155" s="405">
        <f t="shared" si="26"/>
        <v>-0.14546410521667391</v>
      </c>
      <c r="K155" s="707">
        <f>SUM(K156:K158)</f>
        <v>10113800</v>
      </c>
      <c r="L155" s="353"/>
      <c r="M155" s="354"/>
      <c r="N155" s="354"/>
      <c r="O155" s="354"/>
      <c r="P155" s="354"/>
      <c r="Q155" s="354"/>
      <c r="R155" s="354"/>
      <c r="S155" s="354"/>
      <c r="T155" s="354"/>
      <c r="U155" s="354"/>
      <c r="V155" s="354"/>
      <c r="W155" s="354"/>
    </row>
    <row r="156" spans="1:23" ht="11.25" customHeight="1" x14ac:dyDescent="0.25">
      <c r="A156" s="30" t="str">
        <f>'Org structure'!E53</f>
        <v>5.1 - FX001001005003 - Municipal Buildings (Community and Social Services) - AD</v>
      </c>
      <c r="B156" s="197"/>
      <c r="C156" s="332">
        <f>'C5Q'!N47</f>
        <v>-1425033.96</v>
      </c>
      <c r="D156" s="704">
        <f>'C5Q'!O47</f>
        <v>0</v>
      </c>
      <c r="E156" s="365">
        <f>'C5Q'!P47</f>
        <v>1700300</v>
      </c>
      <c r="F156" s="365">
        <f>'C5Q'!Q47</f>
        <v>27533</v>
      </c>
      <c r="G156" s="365">
        <f>'C5Q'!R47</f>
        <v>27533</v>
      </c>
      <c r="H156" s="365">
        <f>'C5Q'!S47</f>
        <v>1120300</v>
      </c>
      <c r="I156" s="34">
        <f t="shared" si="22"/>
        <v>-1092767</v>
      </c>
      <c r="J156" s="405">
        <f t="shared" si="26"/>
        <v>-0.97542354726412572</v>
      </c>
      <c r="K156" s="332">
        <f>'C5Q'!V47</f>
        <v>1700300</v>
      </c>
      <c r="L156" s="704" t="str">
        <f>'C5Q'!A49</f>
        <v>5.3 - FX009001002 - Air Transport (Other) -BV</v>
      </c>
      <c r="M156" s="365">
        <f>'C5Q'!B49</f>
        <v>12812760.09</v>
      </c>
      <c r="N156" s="365">
        <f>'C5Q'!C49</f>
        <v>3999000</v>
      </c>
      <c r="O156" s="365">
        <f>'C5Q'!D49</f>
        <v>3999000</v>
      </c>
      <c r="P156" s="365">
        <f>'C5Q'!E49</f>
        <v>0</v>
      </c>
      <c r="Q156" s="365">
        <f>'C5Q'!F49</f>
        <v>343970</v>
      </c>
      <c r="R156" s="365">
        <f>'C5Q'!G49</f>
        <v>1499000</v>
      </c>
      <c r="S156" s="365">
        <f>'C5Q'!H49</f>
        <v>1155030</v>
      </c>
      <c r="T156" s="365">
        <f>'C5Q'!I49</f>
        <v>77.053368912608406</v>
      </c>
      <c r="U156" s="365">
        <f>'C5Q'!J49</f>
        <v>3999000</v>
      </c>
      <c r="V156" s="365">
        <f>'C5Q'!K49</f>
        <v>0</v>
      </c>
      <c r="W156" s="365">
        <f>'C5Q'!L49</f>
        <v>0</v>
      </c>
    </row>
    <row r="157" spans="1:23" ht="11.25" customHeight="1" x14ac:dyDescent="0.25">
      <c r="A157" s="30" t="str">
        <f>'Org structure'!E54</f>
        <v>5.2 - FX005001001 - Administrative and Corporate Support (Finance and Administration) - BB</v>
      </c>
      <c r="B157" s="197"/>
      <c r="C157" s="332">
        <f>'C5Q'!N48</f>
        <v>22400</v>
      </c>
      <c r="D157" s="704">
        <f>'C5Q'!O48</f>
        <v>17000</v>
      </c>
      <c r="E157" s="365">
        <f>'C5Q'!P48</f>
        <v>13500</v>
      </c>
      <c r="F157" s="365">
        <f>'C5Q'!Q48</f>
        <v>0</v>
      </c>
      <c r="G157" s="365">
        <f>'C5Q'!R48</f>
        <v>8280</v>
      </c>
      <c r="H157" s="365">
        <f>'C5Q'!S48</f>
        <v>8280</v>
      </c>
      <c r="I157" s="34">
        <f t="shared" si="22"/>
        <v>0</v>
      </c>
      <c r="J157" s="405">
        <f t="shared" si="26"/>
        <v>0</v>
      </c>
      <c r="K157" s="332">
        <f>'C5Q'!V48</f>
        <v>13500</v>
      </c>
      <c r="L157" s="353"/>
      <c r="M157" s="354"/>
      <c r="N157" s="354"/>
      <c r="O157" s="354"/>
      <c r="P157" s="354"/>
      <c r="Q157" s="354"/>
      <c r="R157" s="354"/>
      <c r="S157" s="354"/>
      <c r="T157" s="354"/>
      <c r="U157" s="354"/>
      <c r="V157" s="354"/>
      <c r="W157" s="354"/>
    </row>
    <row r="158" spans="1:23" ht="11.25" customHeight="1" x14ac:dyDescent="0.25">
      <c r="A158" s="30" t="str">
        <f>'Org structure'!E55</f>
        <v>5.3 - FX009001002 - Air Transport (Other) - BV</v>
      </c>
      <c r="B158" s="197"/>
      <c r="C158" s="332">
        <f>'C5Q'!N49</f>
        <v>5841705.4500000002</v>
      </c>
      <c r="D158" s="704">
        <f>'C5Q'!O49</f>
        <v>8400000</v>
      </c>
      <c r="E158" s="365">
        <f>'C5Q'!P49</f>
        <v>8400000</v>
      </c>
      <c r="F158" s="365">
        <f>'C5Q'!Q49</f>
        <v>0</v>
      </c>
      <c r="G158" s="365">
        <f>'C5Q'!R49</f>
        <v>10226024</v>
      </c>
      <c r="H158" s="365">
        <f>'C5Q'!S49</f>
        <v>10880087</v>
      </c>
      <c r="I158" s="34">
        <f t="shared" si="22"/>
        <v>-654063</v>
      </c>
      <c r="J158" s="405">
        <f t="shared" si="26"/>
        <v>-6.0115603855005938E-2</v>
      </c>
      <c r="K158" s="332">
        <f>'C5Q'!V49</f>
        <v>8400000</v>
      </c>
      <c r="L158" s="353"/>
      <c r="M158" s="354"/>
      <c r="N158" s="354"/>
      <c r="O158" s="354"/>
      <c r="P158" s="354"/>
      <c r="Q158" s="354"/>
      <c r="R158" s="354"/>
      <c r="S158" s="354"/>
      <c r="T158" s="354"/>
      <c r="U158" s="354"/>
      <c r="V158" s="354"/>
      <c r="W158" s="354"/>
    </row>
    <row r="159" spans="1:23" ht="11.25" customHeight="1" x14ac:dyDescent="0.25">
      <c r="A159" s="66" t="str">
        <f>'Org structure'!A7</f>
        <v>Vote 6 - CORPORATE SERVICES - INFORMATION COMMUNICATION TECHNOLOGY</v>
      </c>
      <c r="B159" s="132"/>
      <c r="C159" s="707">
        <f t="shared" ref="C159:H159" si="29">SUM(C160:C160)</f>
        <v>4236203.12</v>
      </c>
      <c r="D159" s="723">
        <f t="shared" si="29"/>
        <v>4570000</v>
      </c>
      <c r="E159" s="349">
        <f t="shared" si="29"/>
        <v>4626600</v>
      </c>
      <c r="F159" s="350">
        <f t="shared" si="29"/>
        <v>56129.06</v>
      </c>
      <c r="G159" s="349">
        <f t="shared" si="29"/>
        <v>271583.34999999998</v>
      </c>
      <c r="H159" s="350">
        <f t="shared" si="29"/>
        <v>3097600</v>
      </c>
      <c r="I159" s="34">
        <f t="shared" si="22"/>
        <v>-2826016.65</v>
      </c>
      <c r="J159" s="405">
        <f t="shared" si="26"/>
        <v>-0.9123245900051653</v>
      </c>
      <c r="K159" s="707">
        <f>SUM(K160:K160)</f>
        <v>4626600</v>
      </c>
      <c r="L159" s="353"/>
      <c r="M159" s="354"/>
      <c r="N159" s="354"/>
      <c r="O159" s="354"/>
      <c r="P159" s="354"/>
      <c r="Q159" s="354"/>
      <c r="R159" s="354"/>
      <c r="S159" s="354"/>
      <c r="T159" s="354"/>
      <c r="U159" s="354"/>
      <c r="V159" s="354"/>
      <c r="W159" s="354"/>
    </row>
    <row r="160" spans="1:23" ht="11.25" customHeight="1" x14ac:dyDescent="0.25">
      <c r="A160" s="30" t="str">
        <f>'Org structure'!E64</f>
        <v>6,1 - FX005001007 - Information Technology (Finance and Administration) - BK</v>
      </c>
      <c r="B160" s="197"/>
      <c r="C160" s="332">
        <f>'C5Q'!N51</f>
        <v>4236203.12</v>
      </c>
      <c r="D160" s="704">
        <f>'C5Q'!O51</f>
        <v>4570000</v>
      </c>
      <c r="E160" s="365">
        <f>'C5Q'!P51</f>
        <v>4626600</v>
      </c>
      <c r="F160" s="365">
        <f>'C5Q'!Q51</f>
        <v>56129.06</v>
      </c>
      <c r="G160" s="365">
        <f>'C5Q'!R51</f>
        <v>271583.34999999998</v>
      </c>
      <c r="H160" s="365">
        <f>'C5Q'!S51</f>
        <v>3097600</v>
      </c>
      <c r="I160" s="34">
        <f t="shared" ref="I160:I198" si="30">G160-H160</f>
        <v>-2826016.65</v>
      </c>
      <c r="J160" s="405">
        <f t="shared" si="26"/>
        <v>-0.9123245900051653</v>
      </c>
      <c r="K160" s="332">
        <f>'C5Q'!V51</f>
        <v>4626600</v>
      </c>
      <c r="L160" s="353"/>
      <c r="M160" s="354"/>
      <c r="N160" s="354"/>
      <c r="O160" s="354"/>
      <c r="P160" s="354"/>
      <c r="Q160" s="354"/>
      <c r="R160" s="354"/>
      <c r="S160" s="354"/>
      <c r="T160" s="354"/>
      <c r="U160" s="354"/>
      <c r="V160" s="354"/>
      <c r="W160" s="354"/>
    </row>
    <row r="161" spans="1:23" ht="11.25" customHeight="1" x14ac:dyDescent="0.25">
      <c r="A161" s="66" t="str">
        <f>'Org structure'!A8</f>
        <v>Vote 7 - CORPORATE SERVICES - HUMAN RESOURCES</v>
      </c>
      <c r="B161" s="132"/>
      <c r="C161" s="707">
        <f t="shared" ref="C161:H161" si="31">SUM(C162:C165)</f>
        <v>178069.8</v>
      </c>
      <c r="D161" s="723">
        <f t="shared" si="31"/>
        <v>153000</v>
      </c>
      <c r="E161" s="349">
        <f t="shared" si="31"/>
        <v>114700</v>
      </c>
      <c r="F161" s="350">
        <f t="shared" si="31"/>
        <v>0</v>
      </c>
      <c r="G161" s="349">
        <f t="shared" si="31"/>
        <v>0</v>
      </c>
      <c r="H161" s="350">
        <f t="shared" si="31"/>
        <v>76200</v>
      </c>
      <c r="I161" s="34">
        <f t="shared" si="30"/>
        <v>-76200</v>
      </c>
      <c r="J161" s="405">
        <f t="shared" si="26"/>
        <v>-1</v>
      </c>
      <c r="K161" s="707">
        <f>SUM(K162:K165)</f>
        <v>114700</v>
      </c>
      <c r="L161" s="353"/>
      <c r="M161" s="354"/>
      <c r="N161" s="354"/>
      <c r="O161" s="354"/>
      <c r="P161" s="354"/>
      <c r="Q161" s="354"/>
      <c r="R161" s="354"/>
      <c r="S161" s="354"/>
      <c r="T161" s="354"/>
      <c r="U161" s="354"/>
      <c r="V161" s="354"/>
      <c r="W161" s="354"/>
    </row>
    <row r="162" spans="1:23" ht="11.25" customHeight="1" x14ac:dyDescent="0.25">
      <c r="A162" s="30" t="str">
        <f>'Org structure'!E75</f>
        <v>7,1 - FX005001006001 - Human Resources (Finance and Administration) - BG</v>
      </c>
      <c r="B162" s="197"/>
      <c r="C162" s="332">
        <f>'C5Q'!N53</f>
        <v>0</v>
      </c>
      <c r="D162" s="704">
        <f>'C5Q'!O53</f>
        <v>3000</v>
      </c>
      <c r="E162" s="365">
        <f>'C5Q'!P53</f>
        <v>3000</v>
      </c>
      <c r="F162" s="365">
        <f>'C5Q'!Q53</f>
        <v>0</v>
      </c>
      <c r="G162" s="365">
        <f>'C5Q'!R53</f>
        <v>0</v>
      </c>
      <c r="H162" s="365">
        <f>'C5Q'!S53</f>
        <v>3000</v>
      </c>
      <c r="I162" s="34">
        <f t="shared" si="30"/>
        <v>-3000</v>
      </c>
      <c r="J162" s="405">
        <f t="shared" si="26"/>
        <v>-1</v>
      </c>
      <c r="K162" s="332">
        <f>'C5Q'!V53</f>
        <v>3000</v>
      </c>
      <c r="L162" s="353"/>
      <c r="M162" s="354"/>
      <c r="N162" s="354"/>
      <c r="O162" s="354"/>
      <c r="P162" s="354"/>
      <c r="Q162" s="354"/>
      <c r="R162" s="354"/>
      <c r="S162" s="354"/>
      <c r="T162" s="354"/>
      <c r="U162" s="354"/>
      <c r="V162" s="354"/>
      <c r="W162" s="354"/>
    </row>
    <row r="163" spans="1:23" ht="11.25" customHeight="1" x14ac:dyDescent="0.25">
      <c r="A163" s="30" t="str">
        <f>'Org structure'!E76</f>
        <v>7,2 - FX005001006002 - Management Services  (Finance and Administration) - BH</v>
      </c>
      <c r="B163" s="197"/>
      <c r="C163" s="332">
        <f>'C5Q'!N54</f>
        <v>0</v>
      </c>
      <c r="D163" s="704">
        <f>'C5Q'!O54</f>
        <v>0</v>
      </c>
      <c r="E163" s="365">
        <f>'C5Q'!P54</f>
        <v>0</v>
      </c>
      <c r="F163" s="365">
        <f>'C5Q'!Q54</f>
        <v>0</v>
      </c>
      <c r="G163" s="365">
        <f>'C5Q'!R54</f>
        <v>0</v>
      </c>
      <c r="H163" s="365">
        <f>'C5Q'!S54</f>
        <v>0</v>
      </c>
      <c r="I163" s="34">
        <f t="shared" si="30"/>
        <v>0</v>
      </c>
      <c r="J163" s="405" t="str">
        <f t="shared" si="26"/>
        <v/>
      </c>
      <c r="K163" s="332">
        <f>'C5Q'!V54</f>
        <v>0</v>
      </c>
      <c r="L163" s="353"/>
      <c r="M163" s="354"/>
      <c r="N163" s="354"/>
      <c r="O163" s="354"/>
      <c r="P163" s="354"/>
      <c r="Q163" s="354"/>
      <c r="R163" s="354"/>
      <c r="S163" s="354"/>
      <c r="T163" s="354"/>
      <c r="U163" s="354"/>
      <c r="V163" s="354"/>
      <c r="W163" s="354"/>
    </row>
    <row r="164" spans="1:23" ht="11.25" customHeight="1" x14ac:dyDescent="0.25">
      <c r="A164" s="30" t="str">
        <f>'Org structure'!E77</f>
        <v>7,3 - FX005001006004 - Training and Industrial Relations (Finance and Administration) - BJ</v>
      </c>
      <c r="B164" s="197"/>
      <c r="C164" s="332">
        <f>'C5Q'!N55</f>
        <v>9500</v>
      </c>
      <c r="D164" s="704">
        <f>'C5Q'!O55</f>
        <v>0</v>
      </c>
      <c r="E164" s="365">
        <f>'C5Q'!P55</f>
        <v>0</v>
      </c>
      <c r="F164" s="365">
        <f>'C5Q'!Q55</f>
        <v>0</v>
      </c>
      <c r="G164" s="365">
        <f>'C5Q'!R55</f>
        <v>0</v>
      </c>
      <c r="H164" s="365">
        <f>'C5Q'!S55</f>
        <v>0</v>
      </c>
      <c r="I164" s="34">
        <f t="shared" si="30"/>
        <v>0</v>
      </c>
      <c r="J164" s="405" t="str">
        <f t="shared" si="26"/>
        <v/>
      </c>
      <c r="K164" s="332">
        <f>'C5Q'!V55</f>
        <v>0</v>
      </c>
      <c r="L164" s="353"/>
      <c r="M164" s="354"/>
      <c r="N164" s="354"/>
      <c r="O164" s="354"/>
      <c r="P164" s="354"/>
      <c r="Q164" s="354"/>
      <c r="R164" s="354"/>
      <c r="S164" s="354"/>
      <c r="T164" s="354"/>
      <c r="U164" s="354"/>
      <c r="V164" s="354"/>
      <c r="W164" s="354"/>
    </row>
    <row r="165" spans="1:23" ht="11.25" customHeight="1" x14ac:dyDescent="0.25">
      <c r="A165" s="30" t="str">
        <f>'Org structure'!E78</f>
        <v>7,4 - FX005001006003 - Occupational Clinic (Finance and Administration) - BI</v>
      </c>
      <c r="B165" s="197"/>
      <c r="C165" s="332">
        <f>'C5Q'!N56</f>
        <v>168569.8</v>
      </c>
      <c r="D165" s="704">
        <f>'C5Q'!O56</f>
        <v>150000</v>
      </c>
      <c r="E165" s="365">
        <f>'C5Q'!P56</f>
        <v>111700</v>
      </c>
      <c r="F165" s="365">
        <f>'C5Q'!Q56</f>
        <v>0</v>
      </c>
      <c r="G165" s="365">
        <f>'C5Q'!R56</f>
        <v>0</v>
      </c>
      <c r="H165" s="365">
        <f>'C5Q'!S56</f>
        <v>73200</v>
      </c>
      <c r="I165" s="34">
        <f t="shared" si="30"/>
        <v>-73200</v>
      </c>
      <c r="J165" s="405">
        <f t="shared" si="26"/>
        <v>-1</v>
      </c>
      <c r="K165" s="332">
        <f>'C5Q'!V56</f>
        <v>111700</v>
      </c>
      <c r="L165" s="353"/>
      <c r="M165" s="354"/>
      <c r="N165" s="354"/>
      <c r="O165" s="354"/>
      <c r="P165" s="354"/>
      <c r="Q165" s="354"/>
      <c r="R165" s="354"/>
      <c r="S165" s="354"/>
      <c r="T165" s="354"/>
      <c r="U165" s="354"/>
      <c r="V165" s="354"/>
      <c r="W165" s="354"/>
    </row>
    <row r="166" spans="1:23" ht="11.25" customHeight="1" x14ac:dyDescent="0.25">
      <c r="A166" s="66" t="str">
        <f>'Org structure'!A9</f>
        <v>Vote 8 - FINANCIAL SERVICES</v>
      </c>
      <c r="B166" s="197"/>
      <c r="C166" s="707">
        <f t="shared" ref="C166:H166" si="32">SUM(C167:C171)</f>
        <v>32585</v>
      </c>
      <c r="D166" s="723">
        <f t="shared" si="32"/>
        <v>0</v>
      </c>
      <c r="E166" s="349">
        <f t="shared" si="32"/>
        <v>31000</v>
      </c>
      <c r="F166" s="350">
        <f t="shared" si="32"/>
        <v>0</v>
      </c>
      <c r="G166" s="349">
        <f t="shared" si="32"/>
        <v>29799</v>
      </c>
      <c r="H166" s="350">
        <f t="shared" si="32"/>
        <v>31000</v>
      </c>
      <c r="I166" s="34">
        <f t="shared" si="30"/>
        <v>-1201</v>
      </c>
      <c r="J166" s="405">
        <f t="shared" si="26"/>
        <v>-3.8741935483870969E-2</v>
      </c>
      <c r="K166" s="707">
        <f>SUM(K167:K171)</f>
        <v>31000</v>
      </c>
      <c r="L166" s="353"/>
      <c r="M166" s="354"/>
      <c r="N166" s="354"/>
      <c r="O166" s="354"/>
      <c r="P166" s="354"/>
      <c r="Q166" s="354"/>
      <c r="R166" s="354"/>
      <c r="S166" s="354"/>
      <c r="T166" s="354"/>
      <c r="U166" s="354"/>
      <c r="V166" s="354"/>
      <c r="W166" s="354"/>
    </row>
    <row r="167" spans="1:23" ht="11.25" customHeight="1" x14ac:dyDescent="0.25">
      <c r="A167" s="30" t="str">
        <f>'Org structure'!E86</f>
        <v>8,1 - FX005001004001 - Financial Management Grant Interns (Finance and Administration) - DR</v>
      </c>
      <c r="B167" s="197"/>
      <c r="C167" s="332">
        <f>'C5Q'!N58</f>
        <v>0</v>
      </c>
      <c r="D167" s="704">
        <f>'C5Q'!O58</f>
        <v>0</v>
      </c>
      <c r="E167" s="365">
        <f>'C5Q'!P58</f>
        <v>0</v>
      </c>
      <c r="F167" s="365">
        <f>'C5Q'!Q58</f>
        <v>0</v>
      </c>
      <c r="G167" s="365">
        <f>'C5Q'!R58</f>
        <v>0</v>
      </c>
      <c r="H167" s="365">
        <f>'C5Q'!S58</f>
        <v>0</v>
      </c>
      <c r="I167" s="34">
        <f t="shared" si="30"/>
        <v>0</v>
      </c>
      <c r="J167" s="405" t="str">
        <f t="shared" si="26"/>
        <v/>
      </c>
      <c r="K167" s="332">
        <f>'C5Q'!V58</f>
        <v>0</v>
      </c>
      <c r="L167" s="353"/>
      <c r="M167" s="354"/>
      <c r="N167" s="354"/>
      <c r="O167" s="354"/>
      <c r="P167" s="354"/>
      <c r="Q167" s="354"/>
      <c r="R167" s="354"/>
      <c r="S167" s="354"/>
      <c r="T167" s="354"/>
      <c r="U167" s="354"/>
      <c r="V167" s="354"/>
      <c r="W167" s="354"/>
    </row>
    <row r="168" spans="1:23" ht="11.25" customHeight="1" x14ac:dyDescent="0.25">
      <c r="A168" s="30" t="str">
        <f>'Org structure'!E87</f>
        <v>8,2 - FX005001004002 - Revenue and Expenditure (Finance and Administration) - DS</v>
      </c>
      <c r="B168" s="197"/>
      <c r="C168" s="332">
        <f>'C5Q'!N59</f>
        <v>32585</v>
      </c>
      <c r="D168" s="704">
        <f>'C5Q'!O59</f>
        <v>0</v>
      </c>
      <c r="E168" s="365">
        <f>'C5Q'!P59</f>
        <v>31000</v>
      </c>
      <c r="F168" s="365">
        <f>'C5Q'!Q59</f>
        <v>0</v>
      </c>
      <c r="G168" s="365">
        <f>'C5Q'!R59</f>
        <v>29799</v>
      </c>
      <c r="H168" s="365">
        <f>'C5Q'!S59</f>
        <v>31000</v>
      </c>
      <c r="I168" s="34">
        <f t="shared" si="30"/>
        <v>-1201</v>
      </c>
      <c r="J168" s="405">
        <f t="shared" si="26"/>
        <v>-3.8741935483870969E-2</v>
      </c>
      <c r="K168" s="332">
        <f>'C5Q'!V59</f>
        <v>31000</v>
      </c>
      <c r="L168" s="353"/>
      <c r="M168" s="354"/>
      <c r="N168" s="354"/>
      <c r="O168" s="354"/>
      <c r="P168" s="354"/>
      <c r="Q168" s="354"/>
      <c r="R168" s="354"/>
      <c r="S168" s="354"/>
      <c r="T168" s="354"/>
      <c r="U168" s="354"/>
      <c r="V168" s="354"/>
      <c r="W168" s="354"/>
    </row>
    <row r="169" spans="1:23" ht="11.25" customHeight="1" x14ac:dyDescent="0.25">
      <c r="A169" s="30" t="str">
        <f>'Org structure'!E88</f>
        <v>8,3 - FX005001004003 - Finance (Finance and Adminstration) - DT</v>
      </c>
      <c r="B169" s="197"/>
      <c r="C169" s="332">
        <f>'C5Q'!N60</f>
        <v>0</v>
      </c>
      <c r="D169" s="704">
        <f>'C5Q'!O60</f>
        <v>0</v>
      </c>
      <c r="E169" s="365">
        <f>'C5Q'!P60</f>
        <v>0</v>
      </c>
      <c r="F169" s="365">
        <f>'C5Q'!Q60</f>
        <v>0</v>
      </c>
      <c r="G169" s="365">
        <f>'C5Q'!R60</f>
        <v>0</v>
      </c>
      <c r="H169" s="365">
        <f>'C5Q'!S60</f>
        <v>0</v>
      </c>
      <c r="I169" s="34">
        <f t="shared" si="30"/>
        <v>0</v>
      </c>
      <c r="J169" s="405" t="str">
        <f t="shared" si="26"/>
        <v/>
      </c>
      <c r="K169" s="332">
        <f>'C5Q'!V60</f>
        <v>0</v>
      </c>
      <c r="L169" s="353"/>
      <c r="M169" s="354"/>
      <c r="N169" s="354"/>
      <c r="O169" s="354"/>
      <c r="P169" s="354"/>
      <c r="Q169" s="354"/>
      <c r="R169" s="354"/>
      <c r="S169" s="354"/>
      <c r="T169" s="354"/>
      <c r="U169" s="354"/>
      <c r="V169" s="354"/>
      <c r="W169" s="354"/>
    </row>
    <row r="170" spans="1:23" ht="11.25" customHeight="1" x14ac:dyDescent="0.25">
      <c r="A170" s="30" t="str">
        <f>'Org structure'!E89</f>
        <v>8,4 - FX005001013 - Supply Chain Management (Finance and Administration) - BQ</v>
      </c>
      <c r="B170" s="197"/>
      <c r="C170" s="332">
        <f>'C5Q'!N61</f>
        <v>0</v>
      </c>
      <c r="D170" s="704">
        <f>'C5Q'!O61</f>
        <v>0</v>
      </c>
      <c r="E170" s="365">
        <f>'C5Q'!P61</f>
        <v>0</v>
      </c>
      <c r="F170" s="365">
        <f>'C5Q'!Q61</f>
        <v>0</v>
      </c>
      <c r="G170" s="365">
        <f>'C5Q'!R61</f>
        <v>0</v>
      </c>
      <c r="H170" s="365">
        <f>'C5Q'!S61</f>
        <v>0</v>
      </c>
      <c r="I170" s="34">
        <f t="shared" si="30"/>
        <v>0</v>
      </c>
      <c r="J170" s="405" t="str">
        <f t="shared" si="26"/>
        <v/>
      </c>
      <c r="K170" s="332">
        <f>'C5Q'!V61</f>
        <v>0</v>
      </c>
      <c r="L170" s="353"/>
      <c r="M170" s="354"/>
      <c r="N170" s="354"/>
      <c r="O170" s="354"/>
      <c r="P170" s="354"/>
      <c r="Q170" s="354"/>
      <c r="R170" s="354"/>
      <c r="S170" s="354"/>
      <c r="T170" s="354"/>
      <c r="U170" s="354"/>
      <c r="V170" s="354"/>
      <c r="W170" s="354"/>
    </row>
    <row r="171" spans="1:23" ht="11.25" customHeight="1" x14ac:dyDescent="0.25">
      <c r="A171" s="30" t="str">
        <f>'Org structure'!E90</f>
        <v>8,5 - FX005002001 - Asset Management (Finance and Administration) - BS</v>
      </c>
      <c r="B171" s="197"/>
      <c r="C171" s="332">
        <f>'C5Q'!N62</f>
        <v>0</v>
      </c>
      <c r="D171" s="704">
        <f>'C5Q'!O62</f>
        <v>0</v>
      </c>
      <c r="E171" s="365">
        <f>'C5Q'!P62</f>
        <v>0</v>
      </c>
      <c r="F171" s="365">
        <f>'C5Q'!Q62</f>
        <v>0</v>
      </c>
      <c r="G171" s="365">
        <f>'C5Q'!R62</f>
        <v>0</v>
      </c>
      <c r="H171" s="365">
        <f>'C5Q'!S62</f>
        <v>0</v>
      </c>
      <c r="I171" s="34">
        <f t="shared" si="30"/>
        <v>0</v>
      </c>
      <c r="J171" s="405" t="str">
        <f t="shared" si="26"/>
        <v/>
      </c>
      <c r="K171" s="332">
        <f>'C5Q'!V62</f>
        <v>0</v>
      </c>
      <c r="L171" s="353"/>
      <c r="M171" s="354"/>
      <c r="N171" s="354"/>
      <c r="O171" s="354"/>
      <c r="P171" s="354"/>
      <c r="Q171" s="354"/>
      <c r="R171" s="354"/>
      <c r="S171" s="354"/>
      <c r="T171" s="354"/>
      <c r="U171" s="354"/>
      <c r="V171" s="354"/>
      <c r="W171" s="354"/>
    </row>
    <row r="172" spans="1:23" ht="11.25" customHeight="1" x14ac:dyDescent="0.25">
      <c r="A172" s="66" t="str">
        <f>'Org structure'!A10</f>
        <v>Vote 9 - ELECTRICAL AND ENERGY SUPPLY SERVICES</v>
      </c>
      <c r="B172" s="197"/>
      <c r="C172" s="707">
        <f t="shared" ref="C172:H172" si="33">SUM(C173:C179)</f>
        <v>12575681.359999999</v>
      </c>
      <c r="D172" s="723">
        <f t="shared" si="33"/>
        <v>19230000</v>
      </c>
      <c r="E172" s="349">
        <f t="shared" si="33"/>
        <v>20593900</v>
      </c>
      <c r="F172" s="350">
        <f t="shared" si="33"/>
        <v>0</v>
      </c>
      <c r="G172" s="349">
        <f t="shared" si="33"/>
        <v>1119536.42</v>
      </c>
      <c r="H172" s="350">
        <f t="shared" si="33"/>
        <v>8197500</v>
      </c>
      <c r="I172" s="34">
        <f t="shared" si="30"/>
        <v>-7077963.5800000001</v>
      </c>
      <c r="J172" s="405">
        <f t="shared" si="26"/>
        <v>-0.86342953095455932</v>
      </c>
      <c r="K172" s="707">
        <f>SUM(K173:K179)</f>
        <v>20593900</v>
      </c>
      <c r="L172" s="353"/>
      <c r="M172" s="354"/>
      <c r="N172" s="354"/>
      <c r="O172" s="354"/>
      <c r="P172" s="354"/>
      <c r="Q172" s="354"/>
      <c r="R172" s="354"/>
      <c r="S172" s="354"/>
      <c r="T172" s="354"/>
      <c r="U172" s="354"/>
      <c r="V172" s="354"/>
      <c r="W172" s="354"/>
    </row>
    <row r="173" spans="1:23" ht="11.25" customHeight="1" x14ac:dyDescent="0.25">
      <c r="A173" s="30" t="str">
        <f>'Org structure'!E97</f>
        <v>9,1 - FX002001001001 - Marketing and Customer relations (Energy Sources) - AI</v>
      </c>
      <c r="B173" s="197"/>
      <c r="C173" s="332">
        <f>'C5Q'!N64</f>
        <v>7935</v>
      </c>
      <c r="D173" s="704">
        <f>'C5Q'!O64</f>
        <v>14000</v>
      </c>
      <c r="E173" s="365">
        <f>'C5Q'!P64</f>
        <v>14000</v>
      </c>
      <c r="F173" s="365">
        <f>'C5Q'!Q64</f>
        <v>0</v>
      </c>
      <c r="G173" s="365">
        <f>'C5Q'!R64</f>
        <v>9000</v>
      </c>
      <c r="H173" s="365">
        <f>'C5Q'!S64</f>
        <v>14000</v>
      </c>
      <c r="I173" s="34">
        <f t="shared" si="30"/>
        <v>-5000</v>
      </c>
      <c r="J173" s="405">
        <f t="shared" si="26"/>
        <v>-0.35714285714285715</v>
      </c>
      <c r="K173" s="332">
        <f>'C5Q'!V64</f>
        <v>14000</v>
      </c>
      <c r="L173" s="704" t="str">
        <f>'C5Q'!A66</f>
        <v>9.3 - FX002001001004 - Electricity Distribution - AL</v>
      </c>
      <c r="M173" s="365">
        <f>'C5Q'!B66</f>
        <v>84381748.769999996</v>
      </c>
      <c r="N173" s="365">
        <f>'C5Q'!C66</f>
        <v>70035300</v>
      </c>
      <c r="O173" s="365">
        <f>'C5Q'!D66</f>
        <v>70035300</v>
      </c>
      <c r="P173" s="365">
        <f>'C5Q'!E66</f>
        <v>7689382.2999999998</v>
      </c>
      <c r="Q173" s="365">
        <f>'C5Q'!F66</f>
        <v>14297897.279999999</v>
      </c>
      <c r="R173" s="365">
        <f>'C5Q'!G66</f>
        <v>33351564.699999999</v>
      </c>
      <c r="S173" s="365">
        <f>'C5Q'!H66</f>
        <v>19053667.420000002</v>
      </c>
      <c r="T173" s="365">
        <f>'C5Q'!I66</f>
        <v>57.129755654312703</v>
      </c>
      <c r="U173" s="365">
        <f>'C5Q'!J66</f>
        <v>70035300</v>
      </c>
      <c r="V173" s="365">
        <f>'C5Q'!K66</f>
        <v>0</v>
      </c>
      <c r="W173" s="365">
        <f>'C5Q'!L66</f>
        <v>0</v>
      </c>
    </row>
    <row r="174" spans="1:23" ht="11.25" customHeight="1" x14ac:dyDescent="0.25">
      <c r="A174" s="30" t="str">
        <f>'Org structure'!E98</f>
        <v>9,2 - FX002001001002 - Administration (Energy Sources) - AJ</v>
      </c>
      <c r="B174" s="197"/>
      <c r="C174" s="332">
        <f>'C5Q'!N65</f>
        <v>0</v>
      </c>
      <c r="D174" s="704">
        <f>'C5Q'!O65</f>
        <v>4000</v>
      </c>
      <c r="E174" s="365">
        <f>'C5Q'!P65</f>
        <v>4000</v>
      </c>
      <c r="F174" s="365">
        <f>'C5Q'!Q65</f>
        <v>0</v>
      </c>
      <c r="G174" s="365">
        <f>'C5Q'!R65</f>
        <v>2350</v>
      </c>
      <c r="H174" s="365">
        <f>'C5Q'!S65</f>
        <v>4000</v>
      </c>
      <c r="I174" s="34">
        <f t="shared" si="30"/>
        <v>-1650</v>
      </c>
      <c r="J174" s="405">
        <f t="shared" si="26"/>
        <v>-0.41249999999999998</v>
      </c>
      <c r="K174" s="332">
        <f>'C5Q'!V65</f>
        <v>4000</v>
      </c>
      <c r="L174" s="353"/>
      <c r="M174" s="354"/>
      <c r="N174" s="354"/>
      <c r="O174" s="354"/>
      <c r="P174" s="354"/>
      <c r="Q174" s="354"/>
      <c r="R174" s="354"/>
      <c r="S174" s="354"/>
      <c r="T174" s="354"/>
      <c r="U174" s="354"/>
      <c r="V174" s="354"/>
      <c r="W174" s="354"/>
    </row>
    <row r="175" spans="1:23" ht="11.25" customHeight="1" x14ac:dyDescent="0.25">
      <c r="A175" s="30" t="str">
        <f>'Org structure'!E99</f>
        <v>9,3 - FX002001001004 - Electricity Distribution (Energy Sources) - AL</v>
      </c>
      <c r="B175" s="197"/>
      <c r="C175" s="332">
        <f>'C5Q'!N66</f>
        <v>39658.01</v>
      </c>
      <c r="D175" s="704">
        <f>'C5Q'!O66</f>
        <v>0</v>
      </c>
      <c r="E175" s="365">
        <f>'C5Q'!P66</f>
        <v>0</v>
      </c>
      <c r="F175" s="365">
        <f>'C5Q'!Q66</f>
        <v>0</v>
      </c>
      <c r="G175" s="365">
        <f>'C5Q'!R66</f>
        <v>0</v>
      </c>
      <c r="H175" s="365">
        <f>'C5Q'!S66</f>
        <v>0</v>
      </c>
      <c r="I175" s="34">
        <f t="shared" si="30"/>
        <v>0</v>
      </c>
      <c r="J175" s="405" t="str">
        <f t="shared" si="26"/>
        <v/>
      </c>
      <c r="K175" s="332">
        <f>'C5Q'!V66</f>
        <v>0</v>
      </c>
      <c r="L175" s="353"/>
      <c r="M175" s="354"/>
      <c r="N175" s="354"/>
      <c r="O175" s="354"/>
      <c r="P175" s="354"/>
      <c r="Q175" s="354"/>
      <c r="R175" s="354"/>
      <c r="S175" s="354"/>
      <c r="T175" s="354"/>
      <c r="U175" s="354"/>
      <c r="V175" s="354"/>
      <c r="W175" s="354"/>
    </row>
    <row r="176" spans="1:23" ht="11.25" customHeight="1" x14ac:dyDescent="0.25">
      <c r="A176" s="30" t="str">
        <f>'Org structure'!E100</f>
        <v>9,4 - FX002001001005 - Electricity Planning (Energy Sources) - AN</v>
      </c>
      <c r="B176" s="197"/>
      <c r="C176" s="332">
        <f>'C5Q'!N67</f>
        <v>0</v>
      </c>
      <c r="D176" s="704">
        <f>'C5Q'!O67</f>
        <v>0</v>
      </c>
      <c r="E176" s="365">
        <f>'C5Q'!P67</f>
        <v>0</v>
      </c>
      <c r="F176" s="365">
        <f>'C5Q'!Q67</f>
        <v>0</v>
      </c>
      <c r="G176" s="365">
        <f>'C5Q'!R67</f>
        <v>0</v>
      </c>
      <c r="H176" s="365">
        <f>'C5Q'!S67</f>
        <v>0</v>
      </c>
      <c r="I176" s="34">
        <f t="shared" si="30"/>
        <v>0</v>
      </c>
      <c r="J176" s="405" t="str">
        <f t="shared" si="26"/>
        <v/>
      </c>
      <c r="K176" s="332">
        <f>'C5Q'!V67</f>
        <v>0</v>
      </c>
      <c r="L176" s="353"/>
      <c r="M176" s="354"/>
      <c r="N176" s="354"/>
      <c r="O176" s="354"/>
      <c r="P176" s="354"/>
      <c r="Q176" s="354"/>
      <c r="R176" s="354"/>
      <c r="S176" s="354"/>
      <c r="T176" s="354"/>
      <c r="U176" s="354"/>
      <c r="V176" s="354"/>
      <c r="W176" s="354"/>
    </row>
    <row r="177" spans="1:23" ht="11.25" customHeight="1" x14ac:dyDescent="0.25">
      <c r="A177" s="30" t="str">
        <f>'Org structure'!E101</f>
        <v>9,5 - FX002001002001 - Street Lighting (Energy Sources) - AP</v>
      </c>
      <c r="B177" s="197"/>
      <c r="C177" s="332">
        <f>'C5Q'!N68</f>
        <v>92870</v>
      </c>
      <c r="D177" s="704">
        <f>'C5Q'!O68</f>
        <v>0</v>
      </c>
      <c r="E177" s="365">
        <f>'C5Q'!P68</f>
        <v>0</v>
      </c>
      <c r="F177" s="365">
        <f>'C5Q'!Q68</f>
        <v>0</v>
      </c>
      <c r="G177" s="365">
        <f>'C5Q'!R68</f>
        <v>0</v>
      </c>
      <c r="H177" s="365">
        <f>'C5Q'!S68</f>
        <v>0</v>
      </c>
      <c r="I177" s="34">
        <f t="shared" si="30"/>
        <v>0</v>
      </c>
      <c r="J177" s="405" t="str">
        <f t="shared" si="26"/>
        <v/>
      </c>
      <c r="K177" s="332">
        <f>'C5Q'!V68</f>
        <v>0</v>
      </c>
      <c r="L177" s="353"/>
      <c r="M177" s="354"/>
      <c r="N177" s="354"/>
      <c r="O177" s="354"/>
      <c r="P177" s="354"/>
      <c r="Q177" s="354"/>
      <c r="R177" s="354"/>
      <c r="S177" s="354"/>
      <c r="T177" s="354"/>
      <c r="U177" s="354"/>
      <c r="V177" s="354"/>
      <c r="W177" s="354"/>
    </row>
    <row r="178" spans="1:23" ht="11.25" customHeight="1" x14ac:dyDescent="0.25">
      <c r="A178" s="30" t="str">
        <f>'Org structure'!E102</f>
        <v>9,6 - FX002001002002 - Process Control Systems (Energy Sources) - AQ</v>
      </c>
      <c r="B178" s="197"/>
      <c r="C178" s="332">
        <f>'C5Q'!N69</f>
        <v>0</v>
      </c>
      <c r="D178" s="704">
        <f>'C5Q'!O69</f>
        <v>0</v>
      </c>
      <c r="E178" s="365">
        <f>'C5Q'!P69</f>
        <v>0</v>
      </c>
      <c r="F178" s="365">
        <f>'C5Q'!Q69</f>
        <v>0</v>
      </c>
      <c r="G178" s="365">
        <f>'C5Q'!R69</f>
        <v>0</v>
      </c>
      <c r="H178" s="365">
        <f>'C5Q'!S69</f>
        <v>0</v>
      </c>
      <c r="I178" s="34">
        <f t="shared" si="30"/>
        <v>0</v>
      </c>
      <c r="J178" s="405" t="str">
        <f t="shared" si="26"/>
        <v/>
      </c>
      <c r="K178" s="332">
        <f>'C5Q'!V69</f>
        <v>0</v>
      </c>
      <c r="L178" s="353"/>
      <c r="M178" s="354"/>
      <c r="N178" s="354"/>
      <c r="O178" s="354"/>
      <c r="P178" s="354"/>
      <c r="Q178" s="354"/>
      <c r="R178" s="354"/>
      <c r="S178" s="354"/>
      <c r="T178" s="354"/>
      <c r="U178" s="354"/>
      <c r="V178" s="354"/>
      <c r="W178" s="354"/>
    </row>
    <row r="179" spans="1:23" ht="11.25" customHeight="1" x14ac:dyDescent="0.25">
      <c r="A179" s="30" t="str">
        <f>'Org structure'!E103</f>
        <v>9,7 - FX005001005 - Fleet Management (Finance and Administration) - BF</v>
      </c>
      <c r="B179" s="197"/>
      <c r="C179" s="332">
        <f>'C5Q'!N70</f>
        <v>12435218.35</v>
      </c>
      <c r="D179" s="704">
        <f>'C5Q'!O70</f>
        <v>19212000</v>
      </c>
      <c r="E179" s="365">
        <f>'C5Q'!P70</f>
        <v>20575900</v>
      </c>
      <c r="F179" s="365">
        <f>'C5Q'!Q70</f>
        <v>0</v>
      </c>
      <c r="G179" s="365">
        <f>'C5Q'!R70</f>
        <v>1108186.42</v>
      </c>
      <c r="H179" s="365">
        <f>'C5Q'!S70</f>
        <v>8179500</v>
      </c>
      <c r="I179" s="34">
        <f t="shared" si="30"/>
        <v>-7071313.5800000001</v>
      </c>
      <c r="J179" s="405">
        <f t="shared" si="26"/>
        <v>-0.86451660614952019</v>
      </c>
      <c r="K179" s="332">
        <f>'C5Q'!V70</f>
        <v>20575900</v>
      </c>
      <c r="L179" s="353"/>
      <c r="M179" s="354"/>
      <c r="N179" s="354"/>
      <c r="O179" s="354"/>
      <c r="P179" s="354"/>
      <c r="Q179" s="354"/>
      <c r="R179" s="354"/>
      <c r="S179" s="354"/>
      <c r="T179" s="354"/>
      <c r="U179" s="354"/>
      <c r="V179" s="354"/>
      <c r="W179" s="354"/>
    </row>
    <row r="180" spans="1:23" ht="11.25" customHeight="1" x14ac:dyDescent="0.25">
      <c r="A180" s="66" t="str">
        <f>'Org structure'!A11</f>
        <v>Vote 10 - INFRASTRUCTURE SERVICES - INFRASTRUCTURE AND FACILITIES MANAGEMENT SERVICES</v>
      </c>
      <c r="B180" s="197"/>
      <c r="C180" s="707">
        <f t="shared" ref="C180:H180" si="34">SUM(C181:C182)</f>
        <v>0</v>
      </c>
      <c r="D180" s="723">
        <f t="shared" si="34"/>
        <v>0</v>
      </c>
      <c r="E180" s="349">
        <f t="shared" si="34"/>
        <v>0</v>
      </c>
      <c r="F180" s="350">
        <f t="shared" si="34"/>
        <v>0</v>
      </c>
      <c r="G180" s="349">
        <f t="shared" si="34"/>
        <v>0</v>
      </c>
      <c r="H180" s="350">
        <f t="shared" si="34"/>
        <v>0</v>
      </c>
      <c r="I180" s="34">
        <f t="shared" si="30"/>
        <v>0</v>
      </c>
      <c r="J180" s="405" t="str">
        <f t="shared" si="26"/>
        <v/>
      </c>
      <c r="K180" s="707">
        <f>SUM(K181:K182)</f>
        <v>0</v>
      </c>
      <c r="L180" s="353"/>
      <c r="M180" s="354"/>
      <c r="N180" s="354"/>
      <c r="O180" s="354"/>
      <c r="P180" s="354"/>
      <c r="Q180" s="354"/>
      <c r="R180" s="354"/>
      <c r="S180" s="354"/>
      <c r="T180" s="354"/>
      <c r="U180" s="354"/>
      <c r="V180" s="354"/>
      <c r="W180" s="354"/>
    </row>
    <row r="181" spans="1:23" ht="11.25" customHeight="1" x14ac:dyDescent="0.25">
      <c r="A181" s="30" t="str">
        <f>'Org structure'!E108</f>
        <v>10.1 - FX001001005001 - Buildings Maintenance (Community and Social Services) - AB</v>
      </c>
      <c r="B181" s="197"/>
      <c r="C181" s="332">
        <f>'C5Q'!N72</f>
        <v>0</v>
      </c>
      <c r="D181" s="704">
        <f>'C5Q'!O72</f>
        <v>0</v>
      </c>
      <c r="E181" s="365">
        <f>'C5Q'!P72</f>
        <v>0</v>
      </c>
      <c r="F181" s="365">
        <f>'C5Q'!Q72</f>
        <v>0</v>
      </c>
      <c r="G181" s="365">
        <f>'C5Q'!R72</f>
        <v>0</v>
      </c>
      <c r="H181" s="365">
        <f>'C5Q'!S72</f>
        <v>0</v>
      </c>
      <c r="I181" s="34">
        <f t="shared" si="30"/>
        <v>0</v>
      </c>
      <c r="J181" s="405" t="str">
        <f t="shared" si="26"/>
        <v/>
      </c>
      <c r="K181" s="332">
        <f>'C5Q'!V72</f>
        <v>0</v>
      </c>
      <c r="L181" s="353"/>
      <c r="M181" s="354"/>
      <c r="N181" s="354"/>
      <c r="O181" s="354"/>
      <c r="P181" s="354"/>
      <c r="Q181" s="354"/>
      <c r="R181" s="354"/>
      <c r="S181" s="354"/>
      <c r="T181" s="354"/>
      <c r="U181" s="354"/>
      <c r="V181" s="354"/>
      <c r="W181" s="354"/>
    </row>
    <row r="182" spans="1:23" ht="11.25" customHeight="1" x14ac:dyDescent="0.25">
      <c r="A182" s="30" t="str">
        <f>'Org structure'!E109</f>
        <v>10.2 - FX010001007002 - Project Management Unit - Asset Management (Planning and Development) - CF</v>
      </c>
      <c r="B182" s="197"/>
      <c r="C182" s="332">
        <f>'C5Q'!N73</f>
        <v>0</v>
      </c>
      <c r="D182" s="704">
        <f>'C5Q'!O73</f>
        <v>0</v>
      </c>
      <c r="E182" s="365">
        <f>'C5Q'!P73</f>
        <v>0</v>
      </c>
      <c r="F182" s="365">
        <f>'C5Q'!Q73</f>
        <v>0</v>
      </c>
      <c r="G182" s="365">
        <f>'C5Q'!R73</f>
        <v>0</v>
      </c>
      <c r="H182" s="365">
        <f>'C5Q'!S73</f>
        <v>0</v>
      </c>
      <c r="I182" s="34">
        <f t="shared" si="30"/>
        <v>0</v>
      </c>
      <c r="J182" s="405" t="str">
        <f t="shared" si="26"/>
        <v/>
      </c>
      <c r="K182" s="332">
        <f>'C5Q'!V73</f>
        <v>0</v>
      </c>
      <c r="L182" s="353"/>
      <c r="M182" s="354"/>
      <c r="N182" s="354"/>
      <c r="O182" s="354"/>
      <c r="P182" s="354"/>
      <c r="Q182" s="354"/>
      <c r="R182" s="354"/>
      <c r="S182" s="354"/>
      <c r="T182" s="354"/>
      <c r="U182" s="354"/>
      <c r="V182" s="354"/>
      <c r="W182" s="354"/>
    </row>
    <row r="183" spans="1:23" ht="11.25" customHeight="1" x14ac:dyDescent="0.25">
      <c r="A183" s="66" t="str">
        <f>'Org structure'!A12</f>
        <v>Vote 11 - INFRASTRUCTURE SERVICES - CIVIL ENGINEERING SERVICES</v>
      </c>
      <c r="B183" s="197"/>
      <c r="C183" s="707">
        <f>SUM(C184:C196)</f>
        <v>2419465.92</v>
      </c>
      <c r="D183" s="350">
        <f>SUM(D184:D196)</f>
        <v>12100000</v>
      </c>
      <c r="E183" s="348">
        <f t="shared" ref="E183:K183" si="35">SUM(E184:E196)</f>
        <v>5000000</v>
      </c>
      <c r="F183" s="348">
        <f t="shared" si="35"/>
        <v>25585324.850000001</v>
      </c>
      <c r="G183" s="348">
        <f t="shared" si="35"/>
        <v>29905884.359999999</v>
      </c>
      <c r="H183" s="348">
        <f t="shared" si="35"/>
        <v>-672052.27</v>
      </c>
      <c r="I183" s="34">
        <f t="shared" si="30"/>
        <v>30577936.629999999</v>
      </c>
      <c r="J183" s="405">
        <f t="shared" si="26"/>
        <v>-45.499342826414377</v>
      </c>
      <c r="K183" s="707">
        <f t="shared" si="35"/>
        <v>5000000</v>
      </c>
      <c r="L183" s="353"/>
      <c r="M183" s="354"/>
      <c r="N183" s="354"/>
      <c r="O183" s="354"/>
      <c r="P183" s="354"/>
      <c r="Q183" s="354"/>
      <c r="R183" s="354"/>
      <c r="S183" s="354"/>
      <c r="T183" s="354"/>
      <c r="U183" s="354"/>
      <c r="V183" s="354"/>
      <c r="W183" s="354"/>
    </row>
    <row r="184" spans="1:23" ht="11.25" customHeight="1" x14ac:dyDescent="0.25">
      <c r="A184" s="30" t="str">
        <f>'Org structure'!E119</f>
        <v>11.1 - FX012001004001 - Roads - Railway Sidings (Road Transport) - CM</v>
      </c>
      <c r="B184" s="197"/>
      <c r="C184" s="332">
        <f>'C5Q'!N75</f>
        <v>0</v>
      </c>
      <c r="D184" s="704">
        <f>'C5Q'!O75</f>
        <v>0</v>
      </c>
      <c r="E184" s="365">
        <f>'C5Q'!P75</f>
        <v>0</v>
      </c>
      <c r="F184" s="365">
        <f>'C5Q'!Q75</f>
        <v>0</v>
      </c>
      <c r="G184" s="365">
        <f>'C5Q'!R75</f>
        <v>0</v>
      </c>
      <c r="H184" s="365">
        <f>'C5Q'!S75</f>
        <v>0</v>
      </c>
      <c r="I184" s="34">
        <f t="shared" si="30"/>
        <v>0</v>
      </c>
      <c r="J184" s="405" t="str">
        <f t="shared" si="26"/>
        <v/>
      </c>
      <c r="K184" s="332">
        <f>'C5Q'!V75</f>
        <v>0</v>
      </c>
      <c r="L184" s="353"/>
      <c r="M184" s="354"/>
      <c r="N184" s="354"/>
      <c r="O184" s="354"/>
      <c r="P184" s="354"/>
      <c r="Q184" s="354"/>
      <c r="R184" s="354"/>
      <c r="S184" s="354"/>
      <c r="T184" s="354"/>
      <c r="U184" s="354"/>
      <c r="V184" s="354"/>
      <c r="W184" s="354"/>
    </row>
    <row r="185" spans="1:23" ht="11.25" customHeight="1" x14ac:dyDescent="0.25">
      <c r="A185" s="30" t="str">
        <f>'Org structure'!E120</f>
        <v>11.2 - FX012001004002 - Roads - Urban Roads (Road Transport) - CN</v>
      </c>
      <c r="B185" s="197"/>
      <c r="C185" s="332">
        <f>'C5Q'!N76</f>
        <v>170000</v>
      </c>
      <c r="D185" s="704">
        <f>'C5Q'!O76</f>
        <v>0</v>
      </c>
      <c r="E185" s="365">
        <f>'C5Q'!P76</f>
        <v>0</v>
      </c>
      <c r="F185" s="365">
        <f>'C5Q'!Q76</f>
        <v>0</v>
      </c>
      <c r="G185" s="365">
        <f>'C5Q'!R76</f>
        <v>0</v>
      </c>
      <c r="H185" s="365">
        <f>'C5Q'!S76</f>
        <v>0</v>
      </c>
      <c r="I185" s="34">
        <f t="shared" si="30"/>
        <v>0</v>
      </c>
      <c r="J185" s="405" t="str">
        <f t="shared" si="26"/>
        <v/>
      </c>
      <c r="K185" s="332">
        <f>'C5Q'!V76</f>
        <v>0</v>
      </c>
      <c r="L185" s="353"/>
      <c r="M185" s="354"/>
      <c r="N185" s="354"/>
      <c r="O185" s="354"/>
      <c r="P185" s="354"/>
      <c r="Q185" s="354"/>
      <c r="R185" s="354"/>
      <c r="S185" s="354"/>
      <c r="T185" s="354"/>
      <c r="U185" s="354"/>
      <c r="V185" s="354"/>
      <c r="W185" s="354"/>
    </row>
    <row r="186" spans="1:23" ht="11.25" customHeight="1" x14ac:dyDescent="0.25">
      <c r="A186" s="30" t="str">
        <f>'Org structure'!E121</f>
        <v>11.3 - FX012001004003 - Roads - Rural Roads (Road Transport) - CO</v>
      </c>
      <c r="B186" s="197"/>
      <c r="C186" s="332">
        <f>'C5Q'!N77</f>
        <v>0</v>
      </c>
      <c r="D186" s="704">
        <f>'C5Q'!O77</f>
        <v>0</v>
      </c>
      <c r="E186" s="365">
        <f>'C5Q'!P77</f>
        <v>0</v>
      </c>
      <c r="F186" s="365">
        <f>'C5Q'!Q77</f>
        <v>0</v>
      </c>
      <c r="G186" s="365">
        <f>'C5Q'!R77</f>
        <v>0</v>
      </c>
      <c r="H186" s="365">
        <f>'C5Q'!S77</f>
        <v>0</v>
      </c>
      <c r="I186" s="34">
        <f t="shared" si="30"/>
        <v>0</v>
      </c>
      <c r="J186" s="405" t="str">
        <f t="shared" si="26"/>
        <v/>
      </c>
      <c r="K186" s="332">
        <f>'C5Q'!V77</f>
        <v>0</v>
      </c>
      <c r="L186" s="353"/>
      <c r="M186" s="354"/>
      <c r="N186" s="354"/>
      <c r="O186" s="354"/>
      <c r="P186" s="354"/>
      <c r="Q186" s="354"/>
      <c r="R186" s="354"/>
      <c r="S186" s="354"/>
      <c r="T186" s="354"/>
      <c r="U186" s="354"/>
      <c r="V186" s="354"/>
      <c r="W186" s="354"/>
    </row>
    <row r="187" spans="1:23" ht="11.25" customHeight="1" x14ac:dyDescent="0.25">
      <c r="A187" s="30" t="str">
        <f>'Org structure'!E122</f>
        <v>11.4 - FX015001003 - Storm Water Management (Waste Water Management) - DJ</v>
      </c>
      <c r="B187" s="197"/>
      <c r="C187" s="332">
        <f>'C5Q'!N78</f>
        <v>0</v>
      </c>
      <c r="D187" s="704">
        <f>'C5Q'!O78</f>
        <v>0</v>
      </c>
      <c r="E187" s="365">
        <f>'C5Q'!P78</f>
        <v>0</v>
      </c>
      <c r="F187" s="365">
        <f>'C5Q'!Q78</f>
        <v>0</v>
      </c>
      <c r="G187" s="365">
        <f>'C5Q'!R78</f>
        <v>0</v>
      </c>
      <c r="H187" s="365">
        <f>'C5Q'!S78</f>
        <v>0</v>
      </c>
      <c r="I187" s="34">
        <f t="shared" si="30"/>
        <v>0</v>
      </c>
      <c r="J187" s="405" t="str">
        <f t="shared" si="26"/>
        <v/>
      </c>
      <c r="K187" s="332">
        <f>'C5Q'!V78</f>
        <v>0</v>
      </c>
      <c r="L187" s="353"/>
      <c r="M187" s="354"/>
      <c r="N187" s="354"/>
      <c r="O187" s="354"/>
      <c r="P187" s="354"/>
      <c r="Q187" s="354"/>
      <c r="R187" s="354"/>
      <c r="S187" s="354"/>
      <c r="T187" s="354"/>
      <c r="U187" s="354"/>
      <c r="V187" s="354"/>
      <c r="W187" s="354"/>
    </row>
    <row r="188" spans="1:23" ht="11.25" customHeight="1" x14ac:dyDescent="0.25">
      <c r="A188" s="30" t="str">
        <f>'Org structure'!E123</f>
        <v>11.5 - FX003001002 - Coastal Protection (Environmental Protection) - DU</v>
      </c>
      <c r="B188" s="197"/>
      <c r="C188" s="332">
        <f>'C5Q'!N79</f>
        <v>626460.18000000005</v>
      </c>
      <c r="D188" s="704">
        <f>'C5Q'!O79</f>
        <v>0</v>
      </c>
      <c r="E188" s="365">
        <f>'C5Q'!P79</f>
        <v>0</v>
      </c>
      <c r="F188" s="365">
        <f>'C5Q'!Q79</f>
        <v>0</v>
      </c>
      <c r="G188" s="365">
        <f>'C5Q'!R79</f>
        <v>0</v>
      </c>
      <c r="H188" s="365">
        <f>'C5Q'!S79</f>
        <v>0</v>
      </c>
      <c r="I188" s="34">
        <f t="shared" si="30"/>
        <v>0</v>
      </c>
      <c r="J188" s="405" t="str">
        <f t="shared" si="26"/>
        <v/>
      </c>
      <c r="K188" s="332">
        <f>'C5Q'!V79</f>
        <v>0</v>
      </c>
      <c r="L188" s="353"/>
      <c r="M188" s="354"/>
      <c r="N188" s="354"/>
      <c r="O188" s="354"/>
      <c r="P188" s="354"/>
      <c r="Q188" s="354"/>
      <c r="R188" s="354"/>
      <c r="S188" s="354"/>
      <c r="T188" s="354"/>
      <c r="U188" s="354"/>
      <c r="V188" s="354"/>
      <c r="W188" s="354"/>
    </row>
    <row r="189" spans="1:23" ht="11.25" customHeight="1" x14ac:dyDescent="0.25">
      <c r="A189" s="30" t="str">
        <f>'Org structure'!E124</f>
        <v>11.6 - FX015001002001 - Sewerage - Industrial Effluent Pipeline (Waste Water Management) - DG</v>
      </c>
      <c r="B189" s="197"/>
      <c r="C189" s="332">
        <f>'C5Q'!N80</f>
        <v>0</v>
      </c>
      <c r="D189" s="704">
        <f>'C5Q'!O80</f>
        <v>0</v>
      </c>
      <c r="E189" s="365">
        <f>'C5Q'!P80</f>
        <v>0</v>
      </c>
      <c r="F189" s="365">
        <f>'C5Q'!Q80</f>
        <v>0</v>
      </c>
      <c r="G189" s="365">
        <f>'C5Q'!R80</f>
        <v>0</v>
      </c>
      <c r="H189" s="365">
        <f>'C5Q'!S80</f>
        <v>0</v>
      </c>
      <c r="I189" s="34">
        <f t="shared" si="30"/>
        <v>0</v>
      </c>
      <c r="J189" s="405" t="str">
        <f t="shared" si="26"/>
        <v/>
      </c>
      <c r="K189" s="332">
        <f>'C5Q'!V80</f>
        <v>0</v>
      </c>
      <c r="L189" s="353"/>
      <c r="M189" s="354"/>
      <c r="N189" s="354"/>
      <c r="O189" s="354"/>
      <c r="P189" s="354"/>
      <c r="Q189" s="354"/>
      <c r="R189" s="354"/>
      <c r="S189" s="354"/>
      <c r="T189" s="354"/>
      <c r="U189" s="354"/>
      <c r="V189" s="354"/>
      <c r="W189" s="354"/>
    </row>
    <row r="190" spans="1:23" ht="11.25" customHeight="1" x14ac:dyDescent="0.25">
      <c r="A190" s="30" t="str">
        <f>'Org structure'!E125</f>
        <v>11.7 - FX015001002002 - Sewerage - Pumpstations (Waste Water Management) - DH</v>
      </c>
      <c r="B190" s="197"/>
      <c r="C190" s="332">
        <f>'C5Q'!N81</f>
        <v>0</v>
      </c>
      <c r="D190" s="704">
        <f>'C5Q'!O81</f>
        <v>0</v>
      </c>
      <c r="E190" s="365">
        <f>'C5Q'!P81</f>
        <v>0</v>
      </c>
      <c r="F190" s="365">
        <f>'C5Q'!Q81</f>
        <v>0</v>
      </c>
      <c r="G190" s="365">
        <f>'C5Q'!R81</f>
        <v>0</v>
      </c>
      <c r="H190" s="365">
        <f>'C5Q'!S81</f>
        <v>0</v>
      </c>
      <c r="I190" s="34">
        <f t="shared" si="30"/>
        <v>0</v>
      </c>
      <c r="J190" s="405" t="str">
        <f t="shared" si="26"/>
        <v/>
      </c>
      <c r="K190" s="332">
        <f>'C5Q'!V81</f>
        <v>0</v>
      </c>
      <c r="L190" s="353"/>
      <c r="M190" s="354"/>
      <c r="N190" s="354"/>
      <c r="O190" s="354"/>
      <c r="P190" s="354"/>
      <c r="Q190" s="354"/>
      <c r="R190" s="354"/>
      <c r="S190" s="354"/>
      <c r="T190" s="354"/>
      <c r="U190" s="354"/>
      <c r="V190" s="354"/>
      <c r="W190" s="354"/>
    </row>
    <row r="191" spans="1:23" ht="11.25" customHeight="1" x14ac:dyDescent="0.25">
      <c r="A191" s="30" t="str">
        <f>'Org structure'!E126</f>
        <v>11.8 - FX015001002003 - Sewerage - Sewerage Network (Waste Water Management) - DI</v>
      </c>
      <c r="B191" s="197"/>
      <c r="C191" s="332">
        <f>'C5Q'!N82</f>
        <v>0</v>
      </c>
      <c r="D191" s="704">
        <f>'C5Q'!O82</f>
        <v>100000</v>
      </c>
      <c r="E191" s="365">
        <f>'C5Q'!P82</f>
        <v>0</v>
      </c>
      <c r="F191" s="365">
        <f>'C5Q'!Q82</f>
        <v>0</v>
      </c>
      <c r="G191" s="365">
        <f>'C5Q'!R82</f>
        <v>0</v>
      </c>
      <c r="H191" s="365">
        <f>'C5Q'!S82</f>
        <v>0</v>
      </c>
      <c r="I191" s="34">
        <f t="shared" si="30"/>
        <v>0</v>
      </c>
      <c r="J191" s="405" t="str">
        <f t="shared" si="26"/>
        <v/>
      </c>
      <c r="K191" s="332">
        <f>'C5Q'!V82</f>
        <v>0</v>
      </c>
      <c r="L191" s="353"/>
      <c r="M191" s="354"/>
      <c r="N191" s="354"/>
      <c r="O191" s="354"/>
      <c r="P191" s="354"/>
      <c r="Q191" s="354"/>
      <c r="R191" s="354"/>
      <c r="S191" s="354"/>
      <c r="T191" s="354"/>
      <c r="U191" s="354"/>
      <c r="V191" s="354"/>
      <c r="W191" s="354"/>
    </row>
    <row r="192" spans="1:23" ht="11.25" customHeight="1" x14ac:dyDescent="0.25">
      <c r="A192" s="30" t="str">
        <f>'Org structure'!E127</f>
        <v>11.9 - FX015001004 - Treatment (Waste Water Management) - DK</v>
      </c>
      <c r="B192" s="197"/>
      <c r="C192" s="332">
        <f>'C5Q'!N83</f>
        <v>0</v>
      </c>
      <c r="D192" s="704">
        <f>'C5Q'!O83</f>
        <v>4000000</v>
      </c>
      <c r="E192" s="365">
        <f>'C5Q'!P83</f>
        <v>0</v>
      </c>
      <c r="F192" s="365">
        <f>'C5Q'!Q83</f>
        <v>0</v>
      </c>
      <c r="G192" s="365">
        <f>'C5Q'!R83</f>
        <v>0</v>
      </c>
      <c r="H192" s="365">
        <f>'C5Q'!S83</f>
        <v>0</v>
      </c>
      <c r="I192" s="34">
        <f t="shared" si="30"/>
        <v>0</v>
      </c>
      <c r="J192" s="405" t="str">
        <f t="shared" si="26"/>
        <v/>
      </c>
      <c r="K192" s="332">
        <f>'C5Q'!V83</f>
        <v>0</v>
      </c>
      <c r="L192" s="353"/>
      <c r="M192" s="354"/>
      <c r="N192" s="354"/>
      <c r="O192" s="354"/>
      <c r="P192" s="354"/>
      <c r="Q192" s="354"/>
      <c r="R192" s="354"/>
      <c r="S192" s="354"/>
      <c r="T192" s="354"/>
      <c r="U192" s="354"/>
      <c r="V192" s="354"/>
      <c r="W192" s="354"/>
    </row>
    <row r="193" spans="1:23" ht="11.25" customHeight="1" x14ac:dyDescent="0.25">
      <c r="A193" s="30" t="str">
        <f>'Org structure'!E128</f>
        <v>11.10 - FX016001002004 - Water Distribution (Clarified Water) - DP</v>
      </c>
      <c r="B193" s="197"/>
      <c r="C193" s="332">
        <f>'C5Q'!N84</f>
        <v>0</v>
      </c>
      <c r="D193" s="704">
        <f>'C5Q'!O84</f>
        <v>0</v>
      </c>
      <c r="E193" s="365">
        <f>'C5Q'!P84</f>
        <v>0</v>
      </c>
      <c r="F193" s="365">
        <f>'C5Q'!Q84</f>
        <v>0</v>
      </c>
      <c r="G193" s="365">
        <f>'C5Q'!R84</f>
        <v>0</v>
      </c>
      <c r="H193" s="365">
        <f>'C5Q'!S84</f>
        <v>0</v>
      </c>
      <c r="I193" s="34">
        <f t="shared" si="30"/>
        <v>0</v>
      </c>
      <c r="J193" s="405" t="str">
        <f t="shared" si="26"/>
        <v/>
      </c>
      <c r="K193" s="332">
        <f>'C5Q'!V84</f>
        <v>0</v>
      </c>
      <c r="L193" s="353"/>
      <c r="M193" s="354"/>
      <c r="N193" s="354"/>
      <c r="O193" s="354"/>
      <c r="P193" s="354"/>
      <c r="Q193" s="354"/>
      <c r="R193" s="354"/>
      <c r="S193" s="354"/>
      <c r="T193" s="354"/>
      <c r="U193" s="354"/>
      <c r="V193" s="354"/>
      <c r="W193" s="354"/>
    </row>
    <row r="194" spans="1:23" ht="11.25" customHeight="1" x14ac:dyDescent="0.25">
      <c r="A194" s="30" t="str">
        <f>'Org structure'!E129</f>
        <v>11.11 - FX016001002005 - Water Distibution (Purification Works) - DQ</v>
      </c>
      <c r="B194" s="197"/>
      <c r="C194" s="332">
        <f>'C5Q'!N85</f>
        <v>0</v>
      </c>
      <c r="D194" s="704">
        <f>'C5Q'!O85</f>
        <v>3000000</v>
      </c>
      <c r="E194" s="365">
        <f>'C5Q'!P85</f>
        <v>0</v>
      </c>
      <c r="F194" s="365">
        <f>'C5Q'!Q85</f>
        <v>0</v>
      </c>
      <c r="G194" s="365">
        <f>'C5Q'!R85</f>
        <v>0</v>
      </c>
      <c r="H194" s="365">
        <f>'C5Q'!S85</f>
        <v>0</v>
      </c>
      <c r="I194" s="34">
        <f t="shared" si="30"/>
        <v>0</v>
      </c>
      <c r="J194" s="405" t="str">
        <f t="shared" si="26"/>
        <v/>
      </c>
      <c r="K194" s="332">
        <f>'C5Q'!V85</f>
        <v>0</v>
      </c>
      <c r="L194" s="353"/>
      <c r="M194" s="354"/>
      <c r="N194" s="354"/>
      <c r="O194" s="354"/>
      <c r="P194" s="354"/>
      <c r="Q194" s="354"/>
      <c r="R194" s="354"/>
      <c r="S194" s="354"/>
      <c r="T194" s="354"/>
      <c r="U194" s="354"/>
      <c r="V194" s="354"/>
      <c r="W194" s="354"/>
    </row>
    <row r="195" spans="1:23" ht="11.25" customHeight="1" x14ac:dyDescent="0.25">
      <c r="A195" s="30" t="str">
        <f>'Org structure'!E130</f>
        <v>11.12 - FX016001002001 - Water Distribution - Rural Water (Water Management) - DM</v>
      </c>
      <c r="B195" s="197"/>
      <c r="C195" s="332">
        <f>'C5Q'!N86</f>
        <v>44233.25</v>
      </c>
      <c r="D195" s="704">
        <f>'C5Q'!O86</f>
        <v>0</v>
      </c>
      <c r="E195" s="365">
        <f>'C5Q'!P86</f>
        <v>0</v>
      </c>
      <c r="F195" s="365">
        <f>'C5Q'!Q86</f>
        <v>0</v>
      </c>
      <c r="G195" s="365">
        <f>'C5Q'!R86</f>
        <v>0</v>
      </c>
      <c r="H195" s="365">
        <f>'C5Q'!S86</f>
        <v>0</v>
      </c>
      <c r="I195" s="34">
        <f t="shared" si="30"/>
        <v>0</v>
      </c>
      <c r="J195" s="405" t="str">
        <f t="shared" si="26"/>
        <v/>
      </c>
      <c r="K195" s="332">
        <f>'C5Q'!V86</f>
        <v>0</v>
      </c>
      <c r="L195" s="353"/>
      <c r="M195" s="354"/>
      <c r="N195" s="354"/>
      <c r="O195" s="354"/>
      <c r="P195" s="354"/>
      <c r="Q195" s="354"/>
      <c r="R195" s="354"/>
      <c r="S195" s="354"/>
      <c r="T195" s="354"/>
      <c r="U195" s="354"/>
      <c r="V195" s="354"/>
      <c r="W195" s="354"/>
    </row>
    <row r="196" spans="1:23" ht="11.25" customHeight="1" x14ac:dyDescent="0.25">
      <c r="A196" s="30" t="str">
        <f>'Org structure'!E131</f>
        <v>11.13 - FX016001002002 - Water Distribution - Urban Water (Water Management) - DN</v>
      </c>
      <c r="B196" s="197"/>
      <c r="C196" s="332">
        <f>'C5Q'!N87</f>
        <v>1578772.49</v>
      </c>
      <c r="D196" s="704">
        <f>'C5Q'!O87</f>
        <v>5000000</v>
      </c>
      <c r="E196" s="365">
        <f>'C5Q'!P87</f>
        <v>5000000</v>
      </c>
      <c r="F196" s="365">
        <f>'C5Q'!Q87</f>
        <v>25585324.850000001</v>
      </c>
      <c r="G196" s="365">
        <f>'C5Q'!R87</f>
        <v>29905884.359999999</v>
      </c>
      <c r="H196" s="365">
        <f>'C5Q'!S87</f>
        <v>-672052.27</v>
      </c>
      <c r="I196" s="34">
        <f t="shared" si="30"/>
        <v>30577936.629999999</v>
      </c>
      <c r="J196" s="405">
        <f t="shared" si="26"/>
        <v>-45.499342826414377</v>
      </c>
      <c r="K196" s="332">
        <f>'C5Q'!V87</f>
        <v>5000000</v>
      </c>
      <c r="L196" s="353"/>
      <c r="M196" s="354"/>
      <c r="N196" s="354"/>
      <c r="O196" s="354"/>
      <c r="P196" s="354"/>
      <c r="Q196" s="354"/>
      <c r="R196" s="354"/>
      <c r="S196" s="354"/>
      <c r="T196" s="354"/>
      <c r="U196" s="354"/>
      <c r="V196" s="354"/>
      <c r="W196" s="354"/>
    </row>
    <row r="197" spans="1:23" ht="11.25" customHeight="1" x14ac:dyDescent="0.25">
      <c r="A197" s="66" t="str">
        <f>'Org structure'!A16</f>
        <v>Vote 12 - INFRASTRUCTURE SERVICES - ENGINEERING SERVICES</v>
      </c>
      <c r="B197" s="197"/>
      <c r="C197" s="707">
        <f t="shared" ref="C197:H197" si="36">SUM(C198:C199)</f>
        <v>0</v>
      </c>
      <c r="D197" s="723">
        <f t="shared" si="36"/>
        <v>8000</v>
      </c>
      <c r="E197" s="349">
        <f t="shared" si="36"/>
        <v>8000</v>
      </c>
      <c r="F197" s="350">
        <f t="shared" si="36"/>
        <v>0</v>
      </c>
      <c r="G197" s="349">
        <f t="shared" si="36"/>
        <v>0</v>
      </c>
      <c r="H197" s="350">
        <f t="shared" si="36"/>
        <v>0</v>
      </c>
      <c r="I197" s="34">
        <f t="shared" si="30"/>
        <v>0</v>
      </c>
      <c r="J197" s="405" t="str">
        <f t="shared" si="26"/>
        <v/>
      </c>
      <c r="K197" s="707">
        <f>SUM(K198:K199)</f>
        <v>8000</v>
      </c>
      <c r="L197" s="353"/>
      <c r="M197" s="354"/>
      <c r="N197" s="354"/>
      <c r="O197" s="354"/>
      <c r="P197" s="354"/>
      <c r="Q197" s="354"/>
      <c r="R197" s="354"/>
      <c r="S197" s="354"/>
      <c r="T197" s="354"/>
      <c r="U197" s="354"/>
      <c r="V197" s="354"/>
      <c r="W197" s="354"/>
    </row>
    <row r="198" spans="1:23" ht="11.25" customHeight="1" x14ac:dyDescent="0.25">
      <c r="A198" s="30" t="str">
        <f>'Org structure'!E133</f>
        <v>12.1 - FX010001007001 - Project Management Unit - Administration (Planning and Development) - CE</v>
      </c>
      <c r="B198" s="197"/>
      <c r="C198" s="332">
        <f>'C5Q'!N89</f>
        <v>0</v>
      </c>
      <c r="D198" s="704">
        <f>'C5Q'!O89</f>
        <v>8000</v>
      </c>
      <c r="E198" s="365">
        <f>'C5Q'!P89</f>
        <v>8000</v>
      </c>
      <c r="F198" s="365">
        <f>'C5Q'!Q89</f>
        <v>0</v>
      </c>
      <c r="G198" s="365">
        <f>'C5Q'!R89</f>
        <v>0</v>
      </c>
      <c r="H198" s="365">
        <f>'C5Q'!S89</f>
        <v>0</v>
      </c>
      <c r="I198" s="34">
        <f t="shared" si="30"/>
        <v>0</v>
      </c>
      <c r="J198" s="405" t="str">
        <f t="shared" si="26"/>
        <v/>
      </c>
      <c r="K198" s="332">
        <f>'C5Q'!V89</f>
        <v>8000</v>
      </c>
      <c r="L198" s="704" t="str">
        <f>'C5Q'!A91</f>
        <v>VOTE13 - OFFICE OF THE MUNICIPAL MANAGER</v>
      </c>
      <c r="M198" s="365">
        <f>'C5Q'!B91</f>
        <v>15802.49</v>
      </c>
      <c r="N198" s="365">
        <f>'C5Q'!C91</f>
        <v>23000</v>
      </c>
      <c r="O198" s="365">
        <f>'C5Q'!D91</f>
        <v>0</v>
      </c>
      <c r="P198" s="365">
        <f>'C5Q'!E91</f>
        <v>0</v>
      </c>
      <c r="Q198" s="365">
        <f>'C5Q'!F91</f>
        <v>0</v>
      </c>
      <c r="R198" s="365">
        <f>'C5Q'!G91</f>
        <v>0</v>
      </c>
      <c r="S198" s="365">
        <f>'C5Q'!H91</f>
        <v>0</v>
      </c>
      <c r="T198" s="365">
        <f>'C5Q'!I91</f>
        <v>0</v>
      </c>
      <c r="U198" s="365">
        <f>'C5Q'!J91</f>
        <v>0</v>
      </c>
      <c r="V198" s="365">
        <f>'C5Q'!K91</f>
        <v>0</v>
      </c>
      <c r="W198" s="365">
        <f>'C5Q'!L91</f>
        <v>0</v>
      </c>
    </row>
    <row r="199" spans="1:23" ht="11.25" customHeight="1" x14ac:dyDescent="0.25">
      <c r="A199" s="30" t="str">
        <f>'Org structure'!E134</f>
        <v>12.2 - FX010001007005 - Project Management Unit - PMU (Planning and Development) - CI</v>
      </c>
      <c r="B199" s="197"/>
      <c r="C199" s="332">
        <f>'C5Q'!N90</f>
        <v>0</v>
      </c>
      <c r="D199" s="704">
        <f>'C5Q'!O90</f>
        <v>0</v>
      </c>
      <c r="E199" s="365">
        <f>'C5Q'!P90</f>
        <v>0</v>
      </c>
      <c r="F199" s="365">
        <f>'C5Q'!Q90</f>
        <v>0</v>
      </c>
      <c r="G199" s="365">
        <f>'C5Q'!R90</f>
        <v>0</v>
      </c>
      <c r="H199" s="365">
        <f>'C5Q'!S90</f>
        <v>0</v>
      </c>
      <c r="I199" s="34">
        <f t="shared" ref="I199:I221" si="37">G199-H199</f>
        <v>0</v>
      </c>
      <c r="J199" s="405" t="str">
        <f t="shared" si="26"/>
        <v/>
      </c>
      <c r="K199" s="332">
        <f>'C5Q'!V90</f>
        <v>0</v>
      </c>
      <c r="L199" s="353"/>
      <c r="M199" s="354"/>
      <c r="N199" s="354"/>
      <c r="O199" s="354"/>
      <c r="P199" s="354"/>
      <c r="Q199" s="354"/>
      <c r="R199" s="354"/>
      <c r="S199" s="354"/>
      <c r="T199" s="354"/>
      <c r="U199" s="354"/>
      <c r="V199" s="354"/>
      <c r="W199" s="354"/>
    </row>
    <row r="200" spans="1:23" ht="11.25" customHeight="1" x14ac:dyDescent="0.25">
      <c r="A200" s="66" t="str">
        <f>'Org structure'!A17</f>
        <v>Vote 13 - OFFICE OF THE MUNICIPAL MANAGER</v>
      </c>
      <c r="B200" s="197"/>
      <c r="C200" s="707">
        <f>SUM(C201:C213)</f>
        <v>82292.459999999992</v>
      </c>
      <c r="D200" s="350">
        <f t="shared" ref="D200:K200" si="38">SUM(D201:D213)</f>
        <v>29000</v>
      </c>
      <c r="E200" s="348">
        <f t="shared" si="38"/>
        <v>52000</v>
      </c>
      <c r="F200" s="348">
        <f t="shared" si="38"/>
        <v>0</v>
      </c>
      <c r="G200" s="348">
        <f t="shared" si="38"/>
        <v>15071.95</v>
      </c>
      <c r="H200" s="348">
        <f t="shared" si="38"/>
        <v>15071.95</v>
      </c>
      <c r="I200" s="34">
        <f t="shared" si="37"/>
        <v>0</v>
      </c>
      <c r="J200" s="405">
        <f t="shared" ref="J200:J221" si="39">IF(H200=0,"",I200/H200)</f>
        <v>0</v>
      </c>
      <c r="K200" s="707">
        <f t="shared" si="38"/>
        <v>52000</v>
      </c>
      <c r="L200" s="353"/>
      <c r="M200" s="354"/>
      <c r="N200" s="354"/>
      <c r="O200" s="354"/>
      <c r="P200" s="354"/>
      <c r="Q200" s="354"/>
      <c r="R200" s="354"/>
      <c r="S200" s="354"/>
      <c r="T200" s="354"/>
      <c r="U200" s="354"/>
      <c r="V200" s="354"/>
      <c r="W200" s="354"/>
    </row>
    <row r="201" spans="1:23" ht="11.25" customHeight="1" x14ac:dyDescent="0.25">
      <c r="A201" s="30" t="str">
        <f>'Org structure'!E144</f>
        <v>13.1 - FX004001001001 - Mayor and Council (Executive and Council) - AS</v>
      </c>
      <c r="B201" s="197"/>
      <c r="C201" s="332">
        <f>'C5Q'!N92</f>
        <v>59133.53</v>
      </c>
      <c r="D201" s="704">
        <f>'C5Q'!O92</f>
        <v>25000</v>
      </c>
      <c r="E201" s="365">
        <f>'C5Q'!P92</f>
        <v>52000</v>
      </c>
      <c r="F201" s="365">
        <f>'C5Q'!Q92</f>
        <v>0</v>
      </c>
      <c r="G201" s="365">
        <f>'C5Q'!R92</f>
        <v>15071.95</v>
      </c>
      <c r="H201" s="365">
        <f>'C5Q'!S92</f>
        <v>15071.95</v>
      </c>
      <c r="I201" s="34">
        <f t="shared" si="37"/>
        <v>0</v>
      </c>
      <c r="J201" s="405">
        <f t="shared" si="39"/>
        <v>0</v>
      </c>
      <c r="K201" s="332">
        <f>'C5Q'!V92</f>
        <v>52000</v>
      </c>
      <c r="L201" s="353"/>
      <c r="M201" s="354"/>
      <c r="N201" s="354"/>
      <c r="O201" s="354"/>
      <c r="P201" s="354"/>
      <c r="Q201" s="354"/>
      <c r="R201" s="354"/>
      <c r="S201" s="354"/>
      <c r="T201" s="354"/>
      <c r="U201" s="354"/>
      <c r="V201" s="354"/>
      <c r="W201" s="354"/>
    </row>
    <row r="202" spans="1:23" ht="11.25" customHeight="1" x14ac:dyDescent="0.25">
      <c r="A202" s="30" t="str">
        <f>'Org structure'!E145</f>
        <v>13.2 - FX004001002001 - DMM - Corporate Services (Executive and Council) - AU</v>
      </c>
      <c r="B202" s="197"/>
      <c r="C202" s="332">
        <f>'C5Q'!N93</f>
        <v>0</v>
      </c>
      <c r="D202" s="704">
        <f>'C5Q'!O93</f>
        <v>0</v>
      </c>
      <c r="E202" s="365">
        <f>'C5Q'!P93</f>
        <v>0</v>
      </c>
      <c r="F202" s="365">
        <f>'C5Q'!Q93</f>
        <v>0</v>
      </c>
      <c r="G202" s="365">
        <f>'C5Q'!R93</f>
        <v>0</v>
      </c>
      <c r="H202" s="365">
        <f>'C5Q'!S93</f>
        <v>0</v>
      </c>
      <c r="I202" s="34">
        <f t="shared" si="37"/>
        <v>0</v>
      </c>
      <c r="J202" s="405" t="str">
        <f t="shared" si="39"/>
        <v/>
      </c>
      <c r="K202" s="332">
        <f>'C5Q'!V93</f>
        <v>0</v>
      </c>
      <c r="L202" s="353"/>
      <c r="M202" s="354"/>
      <c r="N202" s="354"/>
      <c r="O202" s="354"/>
      <c r="P202" s="354"/>
      <c r="Q202" s="354"/>
      <c r="R202" s="354"/>
      <c r="S202" s="354"/>
      <c r="T202" s="354"/>
      <c r="U202" s="354"/>
      <c r="V202" s="354"/>
      <c r="W202" s="354"/>
    </row>
    <row r="203" spans="1:23" ht="11.25" customHeight="1" x14ac:dyDescent="0.25">
      <c r="A203" s="30" t="str">
        <f>'Org structure'!E146</f>
        <v>13.3 - FX004001002002 - DMM - ITS (Executive and Council) - AV</v>
      </c>
      <c r="B203" s="197"/>
      <c r="C203" s="332">
        <f>'C5Q'!N94</f>
        <v>0</v>
      </c>
      <c r="D203" s="704">
        <f>'C5Q'!O94</f>
        <v>0</v>
      </c>
      <c r="E203" s="365">
        <f>'C5Q'!P94</f>
        <v>0</v>
      </c>
      <c r="F203" s="365">
        <f>'C5Q'!Q94</f>
        <v>0</v>
      </c>
      <c r="G203" s="365">
        <f>'C5Q'!R94</f>
        <v>0</v>
      </c>
      <c r="H203" s="365">
        <f>'C5Q'!S94</f>
        <v>0</v>
      </c>
      <c r="I203" s="34">
        <f t="shared" si="37"/>
        <v>0</v>
      </c>
      <c r="J203" s="405" t="str">
        <f t="shared" si="39"/>
        <v/>
      </c>
      <c r="K203" s="332">
        <f>'C5Q'!V94</f>
        <v>0</v>
      </c>
      <c r="L203" s="353"/>
      <c r="M203" s="354"/>
      <c r="N203" s="354"/>
      <c r="O203" s="354"/>
      <c r="P203" s="354"/>
      <c r="Q203" s="354"/>
      <c r="R203" s="354"/>
      <c r="S203" s="354"/>
      <c r="T203" s="354"/>
      <c r="U203" s="354"/>
      <c r="V203" s="354"/>
      <c r="W203" s="354"/>
    </row>
    <row r="204" spans="1:23" ht="11.25" customHeight="1" x14ac:dyDescent="0.25">
      <c r="A204" s="30" t="str">
        <f>'Org structure'!E147</f>
        <v>13.4 - FX004001002003 -  DMM - City Development (Executive and Council) - AW</v>
      </c>
      <c r="B204" s="197"/>
      <c r="C204" s="332">
        <f>'C5Q'!N95</f>
        <v>0</v>
      </c>
      <c r="D204" s="704">
        <f>'C5Q'!O95</f>
        <v>0</v>
      </c>
      <c r="E204" s="365">
        <f>'C5Q'!P95</f>
        <v>0</v>
      </c>
      <c r="F204" s="365">
        <f>'C5Q'!Q95</f>
        <v>0</v>
      </c>
      <c r="G204" s="365">
        <f>'C5Q'!R95</f>
        <v>0</v>
      </c>
      <c r="H204" s="365">
        <f>'C5Q'!S95</f>
        <v>0</v>
      </c>
      <c r="I204" s="34">
        <f t="shared" si="37"/>
        <v>0</v>
      </c>
      <c r="J204" s="405" t="str">
        <f t="shared" si="39"/>
        <v/>
      </c>
      <c r="K204" s="332">
        <f>'C5Q'!V95</f>
        <v>0</v>
      </c>
      <c r="L204" s="353"/>
      <c r="M204" s="354"/>
      <c r="N204" s="354"/>
      <c r="O204" s="354"/>
      <c r="P204" s="354"/>
      <c r="Q204" s="354"/>
      <c r="R204" s="354"/>
      <c r="S204" s="354"/>
      <c r="T204" s="354"/>
      <c r="U204" s="354"/>
      <c r="V204" s="354"/>
      <c r="W204" s="354"/>
    </row>
    <row r="205" spans="1:23" ht="11.25" customHeight="1" x14ac:dyDescent="0.25">
      <c r="A205" s="30" t="str">
        <f>'Org structure'!E148</f>
        <v>13.5 - FX004001002004 - DMM - Community Services (Executive and Council) - AX</v>
      </c>
      <c r="B205" s="197"/>
      <c r="C205" s="332">
        <f>'C5Q'!N96</f>
        <v>0</v>
      </c>
      <c r="D205" s="704">
        <f>'C5Q'!O96</f>
        <v>0</v>
      </c>
      <c r="E205" s="365">
        <f>'C5Q'!P96</f>
        <v>0</v>
      </c>
      <c r="F205" s="365">
        <f>'C5Q'!Q96</f>
        <v>0</v>
      </c>
      <c r="G205" s="365">
        <f>'C5Q'!R96</f>
        <v>0</v>
      </c>
      <c r="H205" s="365">
        <f>'C5Q'!S96</f>
        <v>0</v>
      </c>
      <c r="I205" s="34">
        <f t="shared" si="37"/>
        <v>0</v>
      </c>
      <c r="J205" s="405" t="str">
        <f t="shared" si="39"/>
        <v/>
      </c>
      <c r="K205" s="332">
        <f>'C5Q'!V96</f>
        <v>0</v>
      </c>
      <c r="L205" s="353"/>
      <c r="M205" s="354"/>
      <c r="N205" s="354"/>
      <c r="O205" s="354"/>
      <c r="P205" s="354"/>
      <c r="Q205" s="354"/>
      <c r="R205" s="354"/>
      <c r="S205" s="354"/>
      <c r="T205" s="354"/>
      <c r="U205" s="354"/>
      <c r="V205" s="354"/>
      <c r="W205" s="354"/>
    </row>
    <row r="206" spans="1:23" ht="11.25" customHeight="1" x14ac:dyDescent="0.25">
      <c r="A206" s="30" t="str">
        <f>'Org structure'!E149</f>
        <v>13.6 - FX004001002005 -  Municipal Manager (Executive and Council) - AY</v>
      </c>
      <c r="B206" s="197"/>
      <c r="C206" s="332">
        <f>'C5Q'!N97</f>
        <v>23158.93</v>
      </c>
      <c r="D206" s="704">
        <f>'C5Q'!O97</f>
        <v>0</v>
      </c>
      <c r="E206" s="365">
        <f>'C5Q'!P97</f>
        <v>0</v>
      </c>
      <c r="F206" s="365">
        <f>'C5Q'!Q97</f>
        <v>0</v>
      </c>
      <c r="G206" s="365">
        <f>'C5Q'!R97</f>
        <v>0</v>
      </c>
      <c r="H206" s="365">
        <f>'C5Q'!S97</f>
        <v>0</v>
      </c>
      <c r="I206" s="34">
        <f t="shared" si="37"/>
        <v>0</v>
      </c>
      <c r="J206" s="405" t="str">
        <f t="shared" si="39"/>
        <v/>
      </c>
      <c r="K206" s="332">
        <f>'C5Q'!V97</f>
        <v>0</v>
      </c>
      <c r="L206" s="353"/>
      <c r="M206" s="354"/>
      <c r="N206" s="354"/>
      <c r="O206" s="354"/>
      <c r="P206" s="354"/>
      <c r="Q206" s="354"/>
      <c r="R206" s="354"/>
      <c r="S206" s="354"/>
      <c r="T206" s="354"/>
      <c r="U206" s="354"/>
      <c r="V206" s="354"/>
      <c r="W206" s="354"/>
    </row>
    <row r="207" spans="1:23" ht="11.25" customHeight="1" x14ac:dyDescent="0.25">
      <c r="A207" s="30" t="str">
        <f>'Org structure'!E150</f>
        <v>13.7 - FX004001002007 - Performance Management (Executive and Council) - BA</v>
      </c>
      <c r="B207" s="197"/>
      <c r="C207" s="332">
        <f>'C5Q'!N98</f>
        <v>0</v>
      </c>
      <c r="D207" s="704">
        <f>'C5Q'!O98</f>
        <v>0</v>
      </c>
      <c r="E207" s="365">
        <f>'C5Q'!P98</f>
        <v>0</v>
      </c>
      <c r="F207" s="365">
        <f>'C5Q'!Q98</f>
        <v>0</v>
      </c>
      <c r="G207" s="365">
        <f>'C5Q'!R98</f>
        <v>0</v>
      </c>
      <c r="H207" s="365">
        <f>'C5Q'!S98</f>
        <v>0</v>
      </c>
      <c r="I207" s="34">
        <f t="shared" si="37"/>
        <v>0</v>
      </c>
      <c r="J207" s="405" t="str">
        <f t="shared" si="39"/>
        <v/>
      </c>
      <c r="K207" s="332">
        <f>'C5Q'!V98</f>
        <v>0</v>
      </c>
      <c r="L207" s="353"/>
      <c r="M207" s="354"/>
      <c r="N207" s="354"/>
      <c r="O207" s="354"/>
      <c r="P207" s="354"/>
      <c r="Q207" s="354"/>
      <c r="R207" s="354"/>
      <c r="S207" s="354"/>
      <c r="T207" s="354"/>
      <c r="U207" s="354"/>
      <c r="V207" s="354"/>
      <c r="W207" s="354"/>
    </row>
    <row r="208" spans="1:23" ht="11.25" customHeight="1" x14ac:dyDescent="0.25">
      <c r="A208" s="30" t="str">
        <f>'Org structure'!E151</f>
        <v>13.8 - FX005001009 - Marketing, Customer Relations, Publicity and Media Co-ordination (Finance and Administration) - BM</v>
      </c>
      <c r="B208" s="197"/>
      <c r="C208" s="332">
        <f>'C5Q'!N99</f>
        <v>0</v>
      </c>
      <c r="D208" s="704">
        <f>'C5Q'!O99</f>
        <v>0</v>
      </c>
      <c r="E208" s="365">
        <f>'C5Q'!P99</f>
        <v>0</v>
      </c>
      <c r="F208" s="365">
        <f>'C5Q'!Q99</f>
        <v>0</v>
      </c>
      <c r="G208" s="365">
        <f>'C5Q'!R99</f>
        <v>0</v>
      </c>
      <c r="H208" s="365">
        <f>'C5Q'!S99</f>
        <v>0</v>
      </c>
      <c r="I208" s="34">
        <f t="shared" si="37"/>
        <v>0</v>
      </c>
      <c r="J208" s="405" t="str">
        <f t="shared" si="39"/>
        <v/>
      </c>
      <c r="K208" s="332">
        <f>'C5Q'!V99</f>
        <v>0</v>
      </c>
      <c r="L208" s="353"/>
      <c r="M208" s="354"/>
      <c r="N208" s="354"/>
      <c r="O208" s="354"/>
      <c r="P208" s="354"/>
      <c r="Q208" s="354"/>
      <c r="R208" s="354"/>
      <c r="S208" s="354"/>
      <c r="T208" s="354"/>
      <c r="U208" s="354"/>
      <c r="V208" s="354"/>
      <c r="W208" s="354"/>
    </row>
    <row r="209" spans="1:23" ht="11.25" customHeight="1" x14ac:dyDescent="0.25">
      <c r="A209" s="30" t="str">
        <f>'Org structure'!E152</f>
        <v>13.9 - FX004001002008 - DMM - Chief Operations Officer (Executive and Council) - BC</v>
      </c>
      <c r="B209" s="197"/>
      <c r="C209" s="332">
        <f>'C5Q'!N100</f>
        <v>0</v>
      </c>
      <c r="D209" s="704">
        <f>'C5Q'!O100</f>
        <v>0</v>
      </c>
      <c r="E209" s="365">
        <f>'C5Q'!P100</f>
        <v>0</v>
      </c>
      <c r="F209" s="365">
        <f>'C5Q'!Q100</f>
        <v>0</v>
      </c>
      <c r="G209" s="365">
        <f>'C5Q'!R100</f>
        <v>0</v>
      </c>
      <c r="H209" s="365">
        <f>'C5Q'!S100</f>
        <v>0</v>
      </c>
      <c r="I209" s="34">
        <f t="shared" si="37"/>
        <v>0</v>
      </c>
      <c r="J209" s="405" t="str">
        <f t="shared" si="39"/>
        <v/>
      </c>
      <c r="K209" s="332">
        <f>'C5Q'!V100</f>
        <v>0</v>
      </c>
      <c r="L209" s="353"/>
      <c r="M209" s="354"/>
      <c r="N209" s="354"/>
      <c r="O209" s="354"/>
      <c r="P209" s="354"/>
      <c r="Q209" s="354"/>
      <c r="R209" s="354"/>
      <c r="S209" s="354"/>
      <c r="T209" s="354"/>
      <c r="U209" s="354"/>
      <c r="V209" s="354"/>
      <c r="W209" s="354"/>
    </row>
    <row r="210" spans="1:23" ht="11.25" customHeight="1" x14ac:dyDescent="0.25">
      <c r="A210" s="30" t="str">
        <f>'Org structure'!E153</f>
        <v>13.10 - FX005001011 - Risk Management (Finance and Administration) - BO</v>
      </c>
      <c r="B210" s="197"/>
      <c r="C210" s="332">
        <f>'C5Q'!N101</f>
        <v>0</v>
      </c>
      <c r="D210" s="704">
        <f>'C5Q'!O101</f>
        <v>4000</v>
      </c>
      <c r="E210" s="365">
        <f>'C5Q'!P101</f>
        <v>0</v>
      </c>
      <c r="F210" s="365">
        <f>'C5Q'!Q101</f>
        <v>0</v>
      </c>
      <c r="G210" s="365">
        <f>'C5Q'!R101</f>
        <v>0</v>
      </c>
      <c r="H210" s="365">
        <f>'C5Q'!S101</f>
        <v>0</v>
      </c>
      <c r="I210" s="34">
        <f t="shared" si="37"/>
        <v>0</v>
      </c>
      <c r="J210" s="405" t="str">
        <f t="shared" si="39"/>
        <v/>
      </c>
      <c r="K210" s="332">
        <f>'C5Q'!V101</f>
        <v>0</v>
      </c>
      <c r="L210" s="353"/>
      <c r="M210" s="354"/>
      <c r="N210" s="354"/>
      <c r="O210" s="354"/>
      <c r="P210" s="354"/>
      <c r="Q210" s="354"/>
      <c r="R210" s="354"/>
      <c r="S210" s="354"/>
      <c r="T210" s="354"/>
      <c r="U210" s="354"/>
      <c r="V210" s="354"/>
      <c r="W210" s="354"/>
    </row>
    <row r="211" spans="1:23" ht="11.25" customHeight="1" x14ac:dyDescent="0.25">
      <c r="A211" s="30" t="str">
        <f>'Org structure'!E154</f>
        <v>13.11 - FX008001001 - Governance Function (Internal Audit) - BU</v>
      </c>
      <c r="B211" s="197"/>
      <c r="C211" s="332">
        <f>'C5Q'!N102</f>
        <v>0</v>
      </c>
      <c r="D211" s="704">
        <f>'C5Q'!O102</f>
        <v>0</v>
      </c>
      <c r="E211" s="365">
        <f>'C5Q'!P102</f>
        <v>0</v>
      </c>
      <c r="F211" s="365">
        <f>'C5Q'!Q102</f>
        <v>0</v>
      </c>
      <c r="G211" s="365">
        <f>'C5Q'!R102</f>
        <v>0</v>
      </c>
      <c r="H211" s="365">
        <f>'C5Q'!S102</f>
        <v>0</v>
      </c>
      <c r="I211" s="34">
        <f t="shared" si="37"/>
        <v>0</v>
      </c>
      <c r="J211" s="405" t="str">
        <f t="shared" si="39"/>
        <v/>
      </c>
      <c r="K211" s="332">
        <f>'C5Q'!V102</f>
        <v>0</v>
      </c>
      <c r="L211" s="353"/>
      <c r="M211" s="354"/>
      <c r="N211" s="354"/>
      <c r="O211" s="354"/>
      <c r="P211" s="354"/>
      <c r="Q211" s="354"/>
      <c r="R211" s="354"/>
      <c r="S211" s="354"/>
      <c r="T211" s="354"/>
      <c r="U211" s="354"/>
      <c r="V211" s="354"/>
      <c r="W211" s="354"/>
    </row>
    <row r="212" spans="1:23" ht="11.25" customHeight="1" x14ac:dyDescent="0.25">
      <c r="A212" s="30" t="str">
        <f>'Org structure'!E155</f>
        <v>13.12 - FX004001002009 - Research, Knowledge Management and Innovation (Executive and Council) - DV</v>
      </c>
      <c r="B212" s="197"/>
      <c r="C212" s="332">
        <f>'C5Q'!N103</f>
        <v>0</v>
      </c>
      <c r="D212" s="704">
        <f>'C5Q'!O103</f>
        <v>0</v>
      </c>
      <c r="E212" s="365">
        <f>'C5Q'!P103</f>
        <v>0</v>
      </c>
      <c r="F212" s="365">
        <f>'C5Q'!Q103</f>
        <v>0</v>
      </c>
      <c r="G212" s="365">
        <f>'C5Q'!R103</f>
        <v>0</v>
      </c>
      <c r="H212" s="365">
        <f>'C5Q'!S103</f>
        <v>0</v>
      </c>
      <c r="I212" s="34">
        <f t="shared" si="37"/>
        <v>0</v>
      </c>
      <c r="J212" s="405" t="str">
        <f t="shared" si="39"/>
        <v/>
      </c>
      <c r="K212" s="332">
        <f>'C5Q'!V103</f>
        <v>0</v>
      </c>
      <c r="L212" s="353"/>
      <c r="M212" s="354"/>
      <c r="N212" s="354"/>
      <c r="O212" s="354"/>
      <c r="P212" s="354"/>
      <c r="Q212" s="354"/>
      <c r="R212" s="354"/>
      <c r="S212" s="354"/>
      <c r="T212" s="354"/>
      <c r="U212" s="354"/>
      <c r="V212" s="354"/>
      <c r="W212" s="354"/>
    </row>
    <row r="213" spans="1:23" ht="11.25" customHeight="1" x14ac:dyDescent="0.25">
      <c r="A213" s="30" t="str">
        <f>'Org structure'!E156</f>
        <v>13.13 - FX004001002010 - Mayoral Support Services (Executive and Council) - DW</v>
      </c>
      <c r="B213" s="197"/>
      <c r="C213" s="332">
        <f>'C5Q'!N104</f>
        <v>0</v>
      </c>
      <c r="D213" s="704">
        <f>'C5Q'!O104</f>
        <v>0</v>
      </c>
      <c r="E213" s="365">
        <f>'C5Q'!P104</f>
        <v>0</v>
      </c>
      <c r="F213" s="365">
        <f>'C5Q'!Q104</f>
        <v>0</v>
      </c>
      <c r="G213" s="365">
        <f>'C5Q'!R104</f>
        <v>0</v>
      </c>
      <c r="H213" s="365">
        <f>'C5Q'!S104</f>
        <v>0</v>
      </c>
      <c r="I213" s="34">
        <f t="shared" si="37"/>
        <v>0</v>
      </c>
      <c r="J213" s="405" t="str">
        <f t="shared" si="39"/>
        <v/>
      </c>
      <c r="K213" s="332">
        <f>'C5Q'!V104</f>
        <v>0</v>
      </c>
      <c r="L213" s="353"/>
      <c r="M213" s="354"/>
      <c r="N213" s="354"/>
      <c r="O213" s="354"/>
      <c r="P213" s="354"/>
      <c r="Q213" s="354"/>
      <c r="R213" s="354"/>
      <c r="S213" s="354"/>
      <c r="T213" s="354"/>
      <c r="U213" s="354"/>
      <c r="V213" s="354"/>
      <c r="W213" s="354"/>
    </row>
    <row r="214" spans="1:23" ht="11.25" customHeight="1" x14ac:dyDescent="0.25">
      <c r="A214" s="66" t="str">
        <f>'Org structure'!A18</f>
        <v>Vote 14 - CORPORATE SERVICES - LEGAL SERVICES</v>
      </c>
      <c r="B214" s="197"/>
      <c r="C214" s="707">
        <f t="shared" ref="C214:H214" si="40">SUM(C215:C215)</f>
        <v>0</v>
      </c>
      <c r="D214" s="723">
        <f t="shared" si="40"/>
        <v>0</v>
      </c>
      <c r="E214" s="349">
        <f t="shared" si="40"/>
        <v>0</v>
      </c>
      <c r="F214" s="350">
        <f t="shared" si="40"/>
        <v>0</v>
      </c>
      <c r="G214" s="349">
        <f t="shared" si="40"/>
        <v>0</v>
      </c>
      <c r="H214" s="350">
        <f t="shared" si="40"/>
        <v>0</v>
      </c>
      <c r="I214" s="34">
        <f t="shared" si="37"/>
        <v>0</v>
      </c>
      <c r="J214" s="405" t="str">
        <f t="shared" si="39"/>
        <v/>
      </c>
      <c r="K214" s="707">
        <f>SUM(K215:K215)</f>
        <v>0</v>
      </c>
      <c r="L214" s="353"/>
      <c r="M214" s="354"/>
      <c r="N214" s="354"/>
      <c r="O214" s="354"/>
      <c r="P214" s="354"/>
      <c r="Q214" s="354"/>
      <c r="R214" s="354"/>
      <c r="S214" s="354"/>
      <c r="T214" s="354"/>
      <c r="U214" s="354"/>
      <c r="V214" s="354"/>
      <c r="W214" s="354"/>
    </row>
    <row r="215" spans="1:23" ht="11.25" customHeight="1" x14ac:dyDescent="0.25">
      <c r="A215" s="30" t="str">
        <f>'Org structure'!E158</f>
        <v>14.1 - FX005001008 - Legal Services (Finance and Administration) - BL</v>
      </c>
      <c r="B215" s="197"/>
      <c r="C215" s="332">
        <f>'C5Q'!N106</f>
        <v>0</v>
      </c>
      <c r="D215" s="704">
        <f>'C5Q'!O106</f>
        <v>0</v>
      </c>
      <c r="E215" s="365">
        <f>'C5Q'!P106</f>
        <v>0</v>
      </c>
      <c r="F215" s="365">
        <f>'C5Q'!Q106</f>
        <v>0</v>
      </c>
      <c r="G215" s="365">
        <f>'C5Q'!R106</f>
        <v>0</v>
      </c>
      <c r="H215" s="365">
        <f>'C5Q'!S106</f>
        <v>0</v>
      </c>
      <c r="I215" s="34">
        <f t="shared" si="37"/>
        <v>0</v>
      </c>
      <c r="J215" s="405" t="str">
        <f t="shared" si="39"/>
        <v/>
      </c>
      <c r="K215" s="332">
        <f>'C5Q'!V106</f>
        <v>0</v>
      </c>
      <c r="L215" s="704" t="str">
        <f>'C5Q'!A108</f>
        <v>15.1 - FX016001001003 - Water Treatment - Scientific - DL</v>
      </c>
      <c r="M215" s="365">
        <f>'C5Q'!B108</f>
        <v>-200514.59</v>
      </c>
      <c r="N215" s="365">
        <f>'C5Q'!C108</f>
        <v>0</v>
      </c>
      <c r="O215" s="365">
        <f>'C5Q'!D108</f>
        <v>0</v>
      </c>
      <c r="P215" s="365">
        <f>'C5Q'!E108</f>
        <v>0</v>
      </c>
      <c r="Q215" s="365">
        <f>'C5Q'!F108</f>
        <v>0</v>
      </c>
      <c r="R215" s="365">
        <f>'C5Q'!G108</f>
        <v>0</v>
      </c>
      <c r="S215" s="365">
        <f>'C5Q'!H108</f>
        <v>0</v>
      </c>
      <c r="T215" s="365">
        <f>'C5Q'!I108</f>
        <v>0</v>
      </c>
      <c r="U215" s="365">
        <f>'C5Q'!J108</f>
        <v>0</v>
      </c>
      <c r="V215" s="365">
        <f>'C5Q'!K108</f>
        <v>0</v>
      </c>
      <c r="W215" s="365">
        <f>'C5Q'!L108</f>
        <v>0</v>
      </c>
    </row>
    <row r="216" spans="1:23" ht="11.25" customHeight="1" x14ac:dyDescent="0.25">
      <c r="A216" s="66" t="str">
        <f>'Org structure'!A19</f>
        <v>Vote 15 - INFRASTRUCTURE SERVICES - INFRASTRUCTURE SUPPORT SERVICES</v>
      </c>
      <c r="B216" s="197"/>
      <c r="C216" s="707">
        <f t="shared" ref="C216:H216" si="41">SUM(C217:C218)</f>
        <v>403695.67</v>
      </c>
      <c r="D216" s="723">
        <f t="shared" si="41"/>
        <v>0</v>
      </c>
      <c r="E216" s="349">
        <f t="shared" si="41"/>
        <v>0</v>
      </c>
      <c r="F216" s="350">
        <f t="shared" si="41"/>
        <v>0</v>
      </c>
      <c r="G216" s="349">
        <f t="shared" si="41"/>
        <v>0</v>
      </c>
      <c r="H216" s="350">
        <f t="shared" si="41"/>
        <v>0</v>
      </c>
      <c r="I216" s="34">
        <f t="shared" si="37"/>
        <v>0</v>
      </c>
      <c r="J216" s="405" t="str">
        <f t="shared" si="39"/>
        <v/>
      </c>
      <c r="K216" s="707">
        <f>SUM(K217:K218)</f>
        <v>0</v>
      </c>
      <c r="L216" s="353"/>
      <c r="M216" s="354"/>
      <c r="N216" s="354"/>
      <c r="O216" s="354"/>
      <c r="P216" s="354"/>
      <c r="Q216" s="354"/>
      <c r="R216" s="354"/>
      <c r="S216" s="354"/>
      <c r="T216" s="354"/>
      <c r="U216" s="354"/>
      <c r="V216" s="354"/>
      <c r="W216" s="354"/>
    </row>
    <row r="217" spans="1:23" ht="11.25" customHeight="1" x14ac:dyDescent="0.25">
      <c r="A217" s="30" t="str">
        <f>'Org structure'!E169</f>
        <v>15.1 - FX016001001003 - Water Treatment - Scientific Services (Water Management) - DL</v>
      </c>
      <c r="B217" s="197"/>
      <c r="C217" s="332">
        <f>'C5Q'!N108</f>
        <v>444878.31</v>
      </c>
      <c r="D217" s="704">
        <f>'C5Q'!O108</f>
        <v>0</v>
      </c>
      <c r="E217" s="365">
        <f>'C5Q'!P108</f>
        <v>0</v>
      </c>
      <c r="F217" s="365">
        <f>'C5Q'!Q108</f>
        <v>0</v>
      </c>
      <c r="G217" s="365">
        <f>'C5Q'!R108</f>
        <v>0</v>
      </c>
      <c r="H217" s="365">
        <f>'C5Q'!S108</f>
        <v>0</v>
      </c>
      <c r="I217" s="34">
        <f t="shared" si="37"/>
        <v>0</v>
      </c>
      <c r="J217" s="405" t="str">
        <f t="shared" si="39"/>
        <v/>
      </c>
      <c r="K217" s="332">
        <f>'C5Q'!V108</f>
        <v>0</v>
      </c>
      <c r="L217" s="353"/>
      <c r="M217" s="354"/>
      <c r="N217" s="354"/>
      <c r="O217" s="354"/>
      <c r="P217" s="354"/>
      <c r="Q217" s="354"/>
      <c r="R217" s="354"/>
      <c r="S217" s="354"/>
      <c r="T217" s="354"/>
      <c r="U217" s="354"/>
      <c r="V217" s="354"/>
      <c r="W217" s="354"/>
    </row>
    <row r="218" spans="1:23" ht="11.25" customHeight="1" x14ac:dyDescent="0.25">
      <c r="A218" s="30" t="str">
        <f>'Org structure'!E170</f>
        <v>15.2 - FX016001002003 - Water Distribution - Water Demand Management (Water Management) - DO</v>
      </c>
      <c r="B218" s="197"/>
      <c r="C218" s="332">
        <f>'C5Q'!N109</f>
        <v>-41182.639999999999</v>
      </c>
      <c r="D218" s="366">
        <f>'C5Q'!O109</f>
        <v>0</v>
      </c>
      <c r="E218" s="331">
        <f>'C5Q'!P109</f>
        <v>0</v>
      </c>
      <c r="F218" s="331">
        <f>'C5Q'!Q109</f>
        <v>0</v>
      </c>
      <c r="G218" s="704">
        <f>'C5Q'!R109</f>
        <v>0</v>
      </c>
      <c r="H218" s="365">
        <f>'C5Q'!S109</f>
        <v>0</v>
      </c>
      <c r="I218" s="34">
        <f t="shared" si="37"/>
        <v>0</v>
      </c>
      <c r="J218" s="579" t="str">
        <f t="shared" si="39"/>
        <v/>
      </c>
      <c r="K218" s="332">
        <f>'C5Q'!V109</f>
        <v>0</v>
      </c>
      <c r="L218" s="353"/>
      <c r="M218" s="354"/>
      <c r="N218" s="354"/>
      <c r="O218" s="354"/>
      <c r="P218" s="354"/>
      <c r="Q218" s="354"/>
      <c r="R218" s="354"/>
      <c r="S218" s="354"/>
      <c r="T218" s="354"/>
      <c r="U218" s="354"/>
      <c r="V218" s="354"/>
      <c r="W218" s="354"/>
    </row>
    <row r="219" spans="1:23" ht="12.75" customHeight="1" x14ac:dyDescent="0.25">
      <c r="A219" s="406" t="s">
        <v>742</v>
      </c>
      <c r="B219" s="407"/>
      <c r="C219" s="709">
        <f t="shared" ref="C219:H219" si="42">C115+C128+C136+C141+C155+C159+C161+C166+C172+C183+C197+C200+C214+C216+C180</f>
        <v>35712240.25</v>
      </c>
      <c r="D219" s="752">
        <f t="shared" si="42"/>
        <v>45002000</v>
      </c>
      <c r="E219" s="357">
        <f t="shared" si="42"/>
        <v>41311200</v>
      </c>
      <c r="F219" s="357">
        <f t="shared" si="42"/>
        <v>25668986.91</v>
      </c>
      <c r="G219" s="358">
        <f t="shared" si="42"/>
        <v>41830179.579999998</v>
      </c>
      <c r="H219" s="753">
        <f t="shared" si="42"/>
        <v>23039454.18</v>
      </c>
      <c r="I219" s="328">
        <f t="shared" si="37"/>
        <v>18790725.399999999</v>
      </c>
      <c r="J219" s="405">
        <f t="shared" si="39"/>
        <v>0.81558900020781655</v>
      </c>
      <c r="K219" s="709">
        <f>K115+K128+K136+K141+K155+K159+K161+K166+K172+K183+K197+K200+K214+K216+K180</f>
        <v>41311200</v>
      </c>
      <c r="L219" s="369"/>
      <c r="M219" s="370"/>
      <c r="N219" s="370"/>
      <c r="O219" s="370"/>
      <c r="P219" s="370"/>
      <c r="Q219" s="370"/>
      <c r="R219" s="370"/>
      <c r="S219" s="370"/>
      <c r="T219" s="370"/>
      <c r="U219" s="370"/>
      <c r="V219" s="370"/>
      <c r="W219" s="370"/>
    </row>
    <row r="220" spans="1:23" ht="4.5" customHeight="1" thickBot="1" x14ac:dyDescent="0.3">
      <c r="A220" s="32"/>
      <c r="B220" s="197"/>
      <c r="C220" s="96"/>
      <c r="D220" s="39"/>
      <c r="E220" s="221"/>
      <c r="F220" s="221"/>
      <c r="G220" s="149"/>
      <c r="H220" s="37"/>
      <c r="I220" s="65">
        <f t="shared" si="37"/>
        <v>0</v>
      </c>
      <c r="J220" s="405" t="str">
        <f t="shared" si="39"/>
        <v/>
      </c>
      <c r="K220" s="96"/>
      <c r="L220" s="371" t="e">
        <f>#REF!-#REF!</f>
        <v>#REF!</v>
      </c>
      <c r="M220" s="372" t="e">
        <f>#REF!-#REF!</f>
        <v>#REF!</v>
      </c>
      <c r="N220" s="372" t="e">
        <f>#REF!-#REF!</f>
        <v>#REF!</v>
      </c>
      <c r="O220" s="372" t="e">
        <f>#REF!-#REF!</f>
        <v>#REF!</v>
      </c>
      <c r="P220" s="372" t="e">
        <f>#REF!-#REF!</f>
        <v>#REF!</v>
      </c>
      <c r="Q220" s="372" t="e">
        <f>#REF!-#REF!</f>
        <v>#REF!</v>
      </c>
      <c r="R220" s="372" t="e">
        <f>#REF!-#REF!</f>
        <v>#REF!</v>
      </c>
      <c r="S220" s="372" t="e">
        <f>#REF!-#REF!</f>
        <v>#REF!</v>
      </c>
      <c r="T220" s="372" t="e">
        <f>#REF!-#REF!</f>
        <v>#REF!</v>
      </c>
      <c r="U220" s="372" t="e">
        <f>#REF!-#REF!</f>
        <v>#REF!</v>
      </c>
      <c r="V220" s="372" t="e">
        <f>#REF!-#REF!</f>
        <v>#REF!</v>
      </c>
      <c r="W220" s="372" t="e">
        <f>#REF!-#REF!</f>
        <v>#REF!</v>
      </c>
    </row>
    <row r="221" spans="1:23" ht="13.5" customHeight="1" thickTop="1" x14ac:dyDescent="0.25">
      <c r="A221" s="40" t="s">
        <v>708</v>
      </c>
      <c r="B221" s="333"/>
      <c r="C221" s="129">
        <f t="shared" ref="C221:H221" si="43">C111+C219</f>
        <v>797757097.44999993</v>
      </c>
      <c r="D221" s="42">
        <f t="shared" si="43"/>
        <v>610994000</v>
      </c>
      <c r="E221" s="155">
        <f t="shared" si="43"/>
        <v>627805200</v>
      </c>
      <c r="F221" s="374">
        <f t="shared" si="43"/>
        <v>32044528.370000001</v>
      </c>
      <c r="G221" s="41">
        <f t="shared" si="43"/>
        <v>404573982.09999996</v>
      </c>
      <c r="H221" s="374">
        <f t="shared" si="43"/>
        <v>495245934.40000004</v>
      </c>
      <c r="I221" s="34">
        <f t="shared" si="37"/>
        <v>-90671952.300000072</v>
      </c>
      <c r="J221" s="581">
        <f t="shared" si="39"/>
        <v>-0.18308469792861778</v>
      </c>
      <c r="K221" s="129">
        <f>K111+K219</f>
        <v>627805200</v>
      </c>
    </row>
    <row r="222" spans="1:23" ht="11.25" customHeight="1" x14ac:dyDescent="0.25">
      <c r="A222" s="64" t="str">
        <f>head27a</f>
        <v>References</v>
      </c>
      <c r="C222" s="73"/>
      <c r="D222" s="316"/>
      <c r="E222" s="316"/>
      <c r="F222" s="316"/>
      <c r="G222" s="316"/>
      <c r="H222" s="316"/>
      <c r="I222" s="711"/>
      <c r="J222" s="316"/>
      <c r="K222" s="316"/>
    </row>
    <row r="223" spans="1:23" ht="11.25" customHeight="1" x14ac:dyDescent="0.25">
      <c r="A223" s="315" t="s">
        <v>104</v>
      </c>
      <c r="C223" s="43"/>
      <c r="D223" s="43"/>
      <c r="E223" s="316"/>
      <c r="F223" s="316"/>
      <c r="G223" s="316"/>
      <c r="H223" s="316"/>
      <c r="I223" s="316"/>
      <c r="J223" s="316"/>
      <c r="K223" s="316"/>
    </row>
    <row r="224" spans="1:23" ht="11.25" customHeight="1" x14ac:dyDescent="0.25">
      <c r="A224" s="27"/>
      <c r="C224" s="43"/>
      <c r="D224" s="43"/>
      <c r="E224" s="316"/>
      <c r="F224" s="316"/>
      <c r="G224" s="316"/>
      <c r="H224" s="316"/>
      <c r="I224" s="316"/>
      <c r="J224" s="316"/>
      <c r="K224" s="316"/>
    </row>
    <row r="225" spans="1:11" ht="11.25" customHeight="1" x14ac:dyDescent="0.25">
      <c r="A225" s="27"/>
      <c r="B225" s="44"/>
      <c r="C225" s="45"/>
      <c r="D225" s="45"/>
      <c r="E225" s="375"/>
      <c r="F225" s="375"/>
      <c r="G225" s="375"/>
      <c r="H225" s="375"/>
      <c r="I225" s="375"/>
      <c r="J225" s="375"/>
      <c r="K225" s="375"/>
    </row>
    <row r="226" spans="1:11" ht="11.25" customHeight="1" x14ac:dyDescent="0.25"/>
    <row r="227" spans="1:11" ht="11.25" customHeight="1" x14ac:dyDescent="0.25">
      <c r="A227" s="45"/>
      <c r="C227" s="242"/>
      <c r="D227" s="242"/>
      <c r="E227" s="242"/>
      <c r="F227" s="242"/>
      <c r="G227" s="242"/>
      <c r="H227" s="242"/>
      <c r="I227" s="242"/>
      <c r="J227" s="242"/>
      <c r="K227" s="242"/>
    </row>
    <row r="228" spans="1:11" ht="11.25" customHeight="1" x14ac:dyDescent="0.25">
      <c r="A228" s="45"/>
      <c r="C228" s="242"/>
      <c r="D228" s="242"/>
      <c r="E228" s="242"/>
      <c r="F228" s="242"/>
      <c r="G228" s="242"/>
      <c r="H228" s="242"/>
      <c r="I228" s="242"/>
      <c r="J228" s="242"/>
      <c r="K228" s="242"/>
    </row>
    <row r="229" spans="1:11" ht="11.25" customHeight="1" x14ac:dyDescent="0.25"/>
    <row r="230" spans="1:11" ht="11.25" customHeight="1" x14ac:dyDescent="0.25"/>
    <row r="231" spans="1:11" ht="11.25" customHeight="1" x14ac:dyDescent="0.25"/>
    <row r="232" spans="1:11" ht="11.25" customHeight="1" x14ac:dyDescent="0.25"/>
    <row r="233" spans="1:11" ht="11.25" customHeight="1" x14ac:dyDescent="0.25"/>
    <row r="234" spans="1:11" ht="11.25" customHeight="1" x14ac:dyDescent="0.25"/>
    <row r="235" spans="1:11" ht="11.25" customHeight="1" x14ac:dyDescent="0.25"/>
    <row r="236" spans="1:11" ht="11.25" customHeight="1" x14ac:dyDescent="0.25"/>
    <row r="237" spans="1:11" ht="11.25" customHeight="1" x14ac:dyDescent="0.25"/>
    <row r="238" spans="1:11" ht="11.25" customHeight="1" x14ac:dyDescent="0.25"/>
    <row r="239" spans="1:11" ht="11.25" customHeight="1" x14ac:dyDescent="0.25"/>
    <row r="240" spans="1:11"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sheetData>
  <mergeCells count="3">
    <mergeCell ref="D2:K2"/>
    <mergeCell ref="L2:W2"/>
    <mergeCell ref="A1:K1"/>
  </mergeCells>
  <phoneticPr fontId="2" type="noConversion"/>
  <pageMargins left="0.74803149606299213" right="0.74803149606299213" top="0.98425196850393704" bottom="0.98425196850393704" header="0.51181102362204722" footer="0.51181102362204722"/>
  <pageSetup paperSize="8" scale="80" orientation="portrait" r:id="rId1"/>
  <headerFooter alignWithMargins="0">
    <oddFooter>&amp;L&amp;F&amp;C&amp;A&amp;R&amp;D</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V110"/>
  <sheetViews>
    <sheetView topLeftCell="A82" workbookViewId="0">
      <selection activeCell="N110" sqref="N110"/>
    </sheetView>
  </sheetViews>
  <sheetFormatPr defaultRowHeight="12.75" x14ac:dyDescent="0.2"/>
  <cols>
    <col min="1" max="1" width="69.7109375" customWidth="1"/>
    <col min="2" max="2" width="15" customWidth="1"/>
    <col min="3" max="3" width="13.5703125" customWidth="1"/>
    <col min="4" max="4" width="14.28515625" customWidth="1"/>
    <col min="5" max="5" width="13.7109375" customWidth="1"/>
    <col min="6" max="6" width="17.85546875" customWidth="1"/>
    <col min="7" max="7" width="17.7109375" customWidth="1"/>
    <col min="8" max="8" width="12.42578125" customWidth="1"/>
    <col min="9" max="9" width="19.7109375" customWidth="1"/>
    <col min="10" max="10" width="16" customWidth="1"/>
    <col min="13" max="13" width="69.7109375" customWidth="1"/>
    <col min="14" max="14" width="15" customWidth="1"/>
    <col min="15" max="15" width="13.5703125" customWidth="1"/>
    <col min="16" max="16" width="14.28515625" customWidth="1"/>
    <col min="17" max="17" width="13.7109375" customWidth="1"/>
    <col min="18" max="18" width="17.85546875" customWidth="1"/>
    <col min="19" max="19" width="17.7109375" customWidth="1"/>
    <col min="20" max="20" width="12.42578125" customWidth="1"/>
    <col min="21" max="21" width="19.7109375" customWidth="1"/>
    <col min="22" max="22" width="16" customWidth="1"/>
  </cols>
  <sheetData>
    <row r="1" spans="1:22" x14ac:dyDescent="0.2">
      <c r="A1" s="285" t="s">
        <v>1772</v>
      </c>
      <c r="M1" s="285" t="s">
        <v>1773</v>
      </c>
    </row>
    <row r="3" spans="1:22" x14ac:dyDescent="0.2">
      <c r="A3" s="659" t="s">
        <v>973</v>
      </c>
      <c r="B3" s="660" t="s">
        <v>471</v>
      </c>
      <c r="C3" s="660" t="s">
        <v>558</v>
      </c>
      <c r="D3" s="660" t="s">
        <v>773</v>
      </c>
      <c r="E3" s="660" t="s">
        <v>1545</v>
      </c>
      <c r="F3" s="660" t="s">
        <v>1546</v>
      </c>
      <c r="G3" s="660" t="s">
        <v>1547</v>
      </c>
      <c r="H3" s="660" t="s">
        <v>1548</v>
      </c>
      <c r="I3" s="660" t="s">
        <v>1549</v>
      </c>
      <c r="J3" s="660" t="s">
        <v>774</v>
      </c>
      <c r="M3" s="659" t="s">
        <v>973</v>
      </c>
      <c r="N3" s="660" t="s">
        <v>471</v>
      </c>
      <c r="O3" s="660" t="s">
        <v>558</v>
      </c>
      <c r="P3" s="660" t="s">
        <v>773</v>
      </c>
      <c r="Q3" s="660" t="s">
        <v>1545</v>
      </c>
      <c r="R3" s="660" t="s">
        <v>1546</v>
      </c>
      <c r="S3" s="660" t="s">
        <v>1547</v>
      </c>
      <c r="T3" s="660" t="s">
        <v>1548</v>
      </c>
      <c r="U3" s="660" t="s">
        <v>1549</v>
      </c>
      <c r="V3" s="660" t="s">
        <v>774</v>
      </c>
    </row>
    <row r="4" spans="1:22" x14ac:dyDescent="0.2">
      <c r="A4" s="659" t="s">
        <v>1792</v>
      </c>
      <c r="B4" s="661" t="s">
        <v>973</v>
      </c>
      <c r="C4" s="661" t="s">
        <v>973</v>
      </c>
      <c r="D4" s="661" t="s">
        <v>973</v>
      </c>
      <c r="E4" s="661" t="s">
        <v>973</v>
      </c>
      <c r="F4" s="661" t="s">
        <v>973</v>
      </c>
      <c r="G4" s="661" t="s">
        <v>973</v>
      </c>
      <c r="H4" s="661" t="s">
        <v>973</v>
      </c>
      <c r="I4" s="661" t="s">
        <v>528</v>
      </c>
      <c r="J4" s="661" t="s">
        <v>973</v>
      </c>
      <c r="M4" s="659" t="s">
        <v>1792</v>
      </c>
      <c r="N4" s="661" t="s">
        <v>973</v>
      </c>
      <c r="O4" s="661" t="s">
        <v>973</v>
      </c>
      <c r="P4" s="661" t="s">
        <v>973</v>
      </c>
      <c r="Q4" s="661" t="s">
        <v>973</v>
      </c>
      <c r="R4" s="661" t="s">
        <v>973</v>
      </c>
      <c r="S4" s="661" t="s">
        <v>973</v>
      </c>
      <c r="T4" s="661" t="s">
        <v>973</v>
      </c>
      <c r="U4" s="661" t="s">
        <v>528</v>
      </c>
      <c r="V4" s="661" t="s">
        <v>973</v>
      </c>
    </row>
    <row r="5" spans="1:22" x14ac:dyDescent="0.2">
      <c r="A5" s="639" t="s">
        <v>1793</v>
      </c>
      <c r="B5" s="637">
        <v>20037634.140000001</v>
      </c>
      <c r="C5" s="637">
        <v>38443000</v>
      </c>
      <c r="D5" s="637">
        <v>52343000</v>
      </c>
      <c r="E5" s="637"/>
      <c r="F5" s="637">
        <v>12370406.369999999</v>
      </c>
      <c r="G5" s="637">
        <v>24826175.800000001</v>
      </c>
      <c r="H5" s="637">
        <v>12455769.43</v>
      </c>
      <c r="I5" s="637">
        <v>246.56221682847101</v>
      </c>
      <c r="J5" s="637">
        <v>52343000</v>
      </c>
      <c r="M5" s="639" t="s">
        <v>1793</v>
      </c>
      <c r="N5" s="637">
        <v>1457540</v>
      </c>
      <c r="O5" s="637"/>
      <c r="P5" s="637"/>
      <c r="Q5" s="637"/>
      <c r="R5" s="637"/>
      <c r="S5" s="637"/>
      <c r="T5" s="637"/>
      <c r="U5" s="637"/>
      <c r="V5" s="637"/>
    </row>
    <row r="6" spans="1:22" x14ac:dyDescent="0.2">
      <c r="A6" s="656" t="s">
        <v>1794</v>
      </c>
      <c r="B6" s="637"/>
      <c r="C6" s="637"/>
      <c r="D6" s="637"/>
      <c r="E6" s="637"/>
      <c r="F6" s="637"/>
      <c r="G6" s="637"/>
      <c r="H6" s="637"/>
      <c r="I6" s="637"/>
      <c r="J6" s="637"/>
      <c r="M6" s="656" t="s">
        <v>1794</v>
      </c>
      <c r="N6" s="637"/>
      <c r="O6" s="637"/>
      <c r="P6" s="637"/>
      <c r="Q6" s="637"/>
      <c r="R6" s="637"/>
      <c r="S6" s="637"/>
      <c r="T6" s="637"/>
      <c r="U6" s="637"/>
      <c r="V6" s="637"/>
    </row>
    <row r="7" spans="1:22" x14ac:dyDescent="0.2">
      <c r="A7" s="656" t="s">
        <v>1386</v>
      </c>
      <c r="B7" s="637"/>
      <c r="C7" s="637">
        <v>3198000</v>
      </c>
      <c r="D7" s="637">
        <v>3198000</v>
      </c>
      <c r="E7" s="637"/>
      <c r="F7" s="637"/>
      <c r="G7" s="637">
        <v>1599000</v>
      </c>
      <c r="H7" s="637">
        <v>1599000</v>
      </c>
      <c r="I7" s="637">
        <v>100</v>
      </c>
      <c r="J7" s="637">
        <v>3198000</v>
      </c>
      <c r="M7" s="656" t="s">
        <v>1386</v>
      </c>
      <c r="N7" s="637"/>
      <c r="O7" s="637"/>
      <c r="P7" s="637"/>
      <c r="Q7" s="637"/>
      <c r="R7" s="637"/>
      <c r="S7" s="637"/>
      <c r="T7" s="637"/>
      <c r="U7" s="637"/>
      <c r="V7" s="637"/>
    </row>
    <row r="8" spans="1:22" x14ac:dyDescent="0.2">
      <c r="A8" s="656" t="s">
        <v>1387</v>
      </c>
      <c r="B8" s="637"/>
      <c r="C8" s="637"/>
      <c r="D8" s="637"/>
      <c r="E8" s="637"/>
      <c r="F8" s="637"/>
      <c r="G8" s="637"/>
      <c r="H8" s="637"/>
      <c r="I8" s="637"/>
      <c r="J8" s="637"/>
      <c r="M8" s="656" t="s">
        <v>1387</v>
      </c>
      <c r="N8" s="637"/>
      <c r="O8" s="637"/>
      <c r="P8" s="637"/>
      <c r="Q8" s="637"/>
      <c r="R8" s="637"/>
      <c r="S8" s="637"/>
      <c r="T8" s="637"/>
      <c r="U8" s="637"/>
      <c r="V8" s="637"/>
    </row>
    <row r="9" spans="1:22" x14ac:dyDescent="0.2">
      <c r="A9" s="656" t="s">
        <v>1795</v>
      </c>
      <c r="B9" s="637"/>
      <c r="C9" s="637"/>
      <c r="D9" s="637"/>
      <c r="E9" s="637"/>
      <c r="F9" s="637"/>
      <c r="G9" s="637"/>
      <c r="H9" s="637"/>
      <c r="I9" s="637"/>
      <c r="J9" s="637"/>
      <c r="M9" s="656" t="s">
        <v>1795</v>
      </c>
      <c r="N9" s="637"/>
      <c r="O9" s="637"/>
      <c r="P9" s="637"/>
      <c r="Q9" s="637"/>
      <c r="R9" s="637"/>
      <c r="S9" s="637"/>
      <c r="T9" s="637"/>
      <c r="U9" s="637"/>
      <c r="V9" s="637"/>
    </row>
    <row r="10" spans="1:22" x14ac:dyDescent="0.2">
      <c r="A10" s="656" t="s">
        <v>1796</v>
      </c>
      <c r="B10" s="637"/>
      <c r="C10" s="637"/>
      <c r="D10" s="637"/>
      <c r="E10" s="637"/>
      <c r="F10" s="637"/>
      <c r="G10" s="637"/>
      <c r="H10" s="637"/>
      <c r="I10" s="637"/>
      <c r="J10" s="637"/>
      <c r="M10" s="656" t="s">
        <v>1796</v>
      </c>
      <c r="N10" s="637"/>
      <c r="O10" s="637"/>
      <c r="P10" s="637"/>
      <c r="Q10" s="637"/>
      <c r="R10" s="637"/>
      <c r="S10" s="637"/>
      <c r="T10" s="637"/>
      <c r="U10" s="637"/>
      <c r="V10" s="637"/>
    </row>
    <row r="11" spans="1:22" x14ac:dyDescent="0.2">
      <c r="A11" s="656" t="s">
        <v>1797</v>
      </c>
      <c r="B11" s="637"/>
      <c r="C11" s="637"/>
      <c r="D11" s="637"/>
      <c r="E11" s="637"/>
      <c r="F11" s="637"/>
      <c r="G11" s="637"/>
      <c r="H11" s="637"/>
      <c r="I11" s="637"/>
      <c r="J11" s="637"/>
      <c r="M11" s="656" t="s">
        <v>1797</v>
      </c>
      <c r="N11" s="637"/>
      <c r="O11" s="637"/>
      <c r="P11" s="637"/>
      <c r="Q11" s="637"/>
      <c r="R11" s="637"/>
      <c r="S11" s="637"/>
      <c r="T11" s="637"/>
      <c r="U11" s="637"/>
      <c r="V11" s="637"/>
    </row>
    <row r="12" spans="1:22" x14ac:dyDescent="0.2">
      <c r="A12" s="656" t="s">
        <v>1798</v>
      </c>
      <c r="B12" s="637">
        <v>17201623.140000001</v>
      </c>
      <c r="C12" s="637">
        <v>35167000</v>
      </c>
      <c r="D12" s="637">
        <v>49067000</v>
      </c>
      <c r="E12" s="637"/>
      <c r="F12" s="637">
        <v>12370406.369999999</v>
      </c>
      <c r="G12" s="637">
        <v>23149175.800000001</v>
      </c>
      <c r="H12" s="637">
        <v>10778769.43</v>
      </c>
      <c r="I12" s="637">
        <v>46.5622168284713</v>
      </c>
      <c r="J12" s="637">
        <v>49067000</v>
      </c>
      <c r="M12" s="656" t="s">
        <v>1798</v>
      </c>
      <c r="N12" s="637"/>
      <c r="O12" s="637"/>
      <c r="P12" s="637"/>
      <c r="Q12" s="637"/>
      <c r="R12" s="637"/>
      <c r="S12" s="637"/>
      <c r="T12" s="637"/>
      <c r="U12" s="637"/>
      <c r="V12" s="637"/>
    </row>
    <row r="13" spans="1:22" x14ac:dyDescent="0.2">
      <c r="A13" s="656" t="s">
        <v>1799</v>
      </c>
      <c r="B13" s="637"/>
      <c r="C13" s="637"/>
      <c r="D13" s="637"/>
      <c r="E13" s="637"/>
      <c r="F13" s="637"/>
      <c r="G13" s="637"/>
      <c r="H13" s="637"/>
      <c r="I13" s="637"/>
      <c r="J13" s="637"/>
      <c r="M13" s="656" t="s">
        <v>1799</v>
      </c>
      <c r="N13" s="637"/>
      <c r="O13" s="637"/>
      <c r="P13" s="637"/>
      <c r="Q13" s="637"/>
      <c r="R13" s="637"/>
      <c r="S13" s="637"/>
      <c r="T13" s="637"/>
      <c r="U13" s="637"/>
      <c r="V13" s="637"/>
    </row>
    <row r="14" spans="1:22" x14ac:dyDescent="0.2">
      <c r="A14" s="656" t="s">
        <v>1800</v>
      </c>
      <c r="B14" s="637">
        <v>2836011</v>
      </c>
      <c r="C14" s="637">
        <v>78000</v>
      </c>
      <c r="D14" s="637">
        <v>78000</v>
      </c>
      <c r="E14" s="637"/>
      <c r="F14" s="637"/>
      <c r="G14" s="637">
        <v>78000</v>
      </c>
      <c r="H14" s="637">
        <v>78000</v>
      </c>
      <c r="I14" s="637">
        <v>100</v>
      </c>
      <c r="J14" s="637">
        <v>78000</v>
      </c>
      <c r="M14" s="656" t="s">
        <v>1800</v>
      </c>
      <c r="N14" s="637">
        <v>1457540</v>
      </c>
      <c r="O14" s="637"/>
      <c r="P14" s="637"/>
      <c r="Q14" s="637"/>
      <c r="R14" s="637"/>
      <c r="S14" s="637"/>
      <c r="T14" s="637"/>
      <c r="U14" s="637"/>
      <c r="V14" s="637"/>
    </row>
    <row r="15" spans="1:22" x14ac:dyDescent="0.2">
      <c r="A15" s="656" t="s">
        <v>1801</v>
      </c>
      <c r="B15" s="637"/>
      <c r="C15" s="637"/>
      <c r="D15" s="637"/>
      <c r="E15" s="637"/>
      <c r="F15" s="637"/>
      <c r="G15" s="637"/>
      <c r="H15" s="637"/>
      <c r="I15" s="637"/>
      <c r="J15" s="637"/>
      <c r="M15" s="656" t="s">
        <v>1801</v>
      </c>
      <c r="N15" s="637"/>
      <c r="O15" s="637"/>
      <c r="P15" s="637"/>
      <c r="Q15" s="637"/>
      <c r="R15" s="637"/>
      <c r="S15" s="637"/>
      <c r="T15" s="637"/>
      <c r="U15" s="637"/>
      <c r="V15" s="637"/>
    </row>
    <row r="16" spans="1:22" x14ac:dyDescent="0.2">
      <c r="A16" s="656" t="s">
        <v>1802</v>
      </c>
      <c r="B16" s="637"/>
      <c r="C16" s="637"/>
      <c r="D16" s="637"/>
      <c r="E16" s="637"/>
      <c r="F16" s="637"/>
      <c r="G16" s="637"/>
      <c r="H16" s="637"/>
      <c r="I16" s="637"/>
      <c r="J16" s="637"/>
      <c r="M16" s="656" t="s">
        <v>1802</v>
      </c>
      <c r="N16" s="637"/>
      <c r="O16" s="637"/>
      <c r="P16" s="637"/>
      <c r="Q16" s="637"/>
      <c r="R16" s="637"/>
      <c r="S16" s="637"/>
      <c r="T16" s="637"/>
      <c r="U16" s="637"/>
      <c r="V16" s="637"/>
    </row>
    <row r="17" spans="1:22" x14ac:dyDescent="0.2">
      <c r="A17" s="656" t="s">
        <v>1803</v>
      </c>
      <c r="B17" s="637"/>
      <c r="C17" s="637"/>
      <c r="D17" s="637"/>
      <c r="E17" s="637"/>
      <c r="F17" s="637"/>
      <c r="G17" s="637"/>
      <c r="H17" s="637"/>
      <c r="I17" s="637"/>
      <c r="J17" s="637"/>
      <c r="M17" s="656" t="s">
        <v>1803</v>
      </c>
      <c r="N17" s="637"/>
      <c r="O17" s="637"/>
      <c r="P17" s="637"/>
      <c r="Q17" s="637"/>
      <c r="R17" s="637"/>
      <c r="S17" s="637"/>
      <c r="T17" s="637"/>
      <c r="U17" s="637"/>
      <c r="V17" s="637"/>
    </row>
    <row r="18" spans="1:22" x14ac:dyDescent="0.2">
      <c r="A18" s="656" t="s">
        <v>1804</v>
      </c>
      <c r="B18" s="637"/>
      <c r="C18" s="637"/>
      <c r="D18" s="637"/>
      <c r="E18" s="637"/>
      <c r="F18" s="637"/>
      <c r="G18" s="637"/>
      <c r="H18" s="637"/>
      <c r="I18" s="637"/>
      <c r="J18" s="637"/>
      <c r="M18" s="656" t="s">
        <v>1804</v>
      </c>
      <c r="N18" s="637"/>
      <c r="O18" s="637"/>
      <c r="P18" s="637"/>
      <c r="Q18" s="637"/>
      <c r="R18" s="637"/>
      <c r="S18" s="637"/>
      <c r="T18" s="637"/>
      <c r="U18" s="637"/>
      <c r="V18" s="637"/>
    </row>
    <row r="19" spans="1:22" x14ac:dyDescent="0.2">
      <c r="A19" s="639" t="s">
        <v>1805</v>
      </c>
      <c r="B19" s="637">
        <v>11615085.130000001</v>
      </c>
      <c r="C19" s="637">
        <v>30835000</v>
      </c>
      <c r="D19" s="637">
        <v>28116000</v>
      </c>
      <c r="E19" s="637">
        <v>199609</v>
      </c>
      <c r="F19" s="637">
        <v>11801664.529999999</v>
      </c>
      <c r="G19" s="637">
        <v>29237753.559999999</v>
      </c>
      <c r="H19" s="637">
        <v>17436089.030000001</v>
      </c>
      <c r="I19" s="637">
        <v>238.69823601668801</v>
      </c>
      <c r="J19" s="637">
        <v>28116000</v>
      </c>
      <c r="M19" s="639" t="s">
        <v>1805</v>
      </c>
      <c r="N19" s="637">
        <v>729985</v>
      </c>
      <c r="O19" s="637">
        <v>58000</v>
      </c>
      <c r="P19" s="637">
        <v>58000</v>
      </c>
      <c r="Q19" s="637"/>
      <c r="R19" s="637">
        <v>9900</v>
      </c>
      <c r="S19" s="637">
        <v>23900</v>
      </c>
      <c r="T19" s="637">
        <v>14000</v>
      </c>
      <c r="U19" s="637">
        <v>58.577405857740601</v>
      </c>
      <c r="V19" s="637">
        <v>58000</v>
      </c>
    </row>
    <row r="20" spans="1:22" x14ac:dyDescent="0.2">
      <c r="A20" s="656" t="s">
        <v>1806</v>
      </c>
      <c r="B20" s="637"/>
      <c r="C20" s="637"/>
      <c r="D20" s="637"/>
      <c r="E20" s="637"/>
      <c r="F20" s="637"/>
      <c r="G20" s="637"/>
      <c r="H20" s="637"/>
      <c r="I20" s="637"/>
      <c r="J20" s="637"/>
      <c r="M20" s="656" t="s">
        <v>1806</v>
      </c>
      <c r="N20" s="637"/>
      <c r="O20" s="637">
        <v>28000</v>
      </c>
      <c r="P20" s="637">
        <v>28000</v>
      </c>
      <c r="Q20" s="637"/>
      <c r="R20" s="637">
        <v>9900</v>
      </c>
      <c r="S20" s="637">
        <v>23900</v>
      </c>
      <c r="T20" s="637">
        <v>14000</v>
      </c>
      <c r="U20" s="637">
        <v>58.577405857740601</v>
      </c>
      <c r="V20" s="637">
        <v>28000</v>
      </c>
    </row>
    <row r="21" spans="1:22" x14ac:dyDescent="0.2">
      <c r="A21" s="656" t="s">
        <v>1807</v>
      </c>
      <c r="B21" s="637">
        <v>81175.87</v>
      </c>
      <c r="C21" s="637">
        <v>630000</v>
      </c>
      <c r="D21" s="637">
        <v>630000</v>
      </c>
      <c r="E21" s="637"/>
      <c r="F21" s="637"/>
      <c r="G21" s="637">
        <v>300000</v>
      </c>
      <c r="H21" s="637">
        <v>300000</v>
      </c>
      <c r="I21" s="637">
        <v>100</v>
      </c>
      <c r="J21" s="637">
        <v>630000</v>
      </c>
      <c r="M21" s="656" t="s">
        <v>1807</v>
      </c>
      <c r="N21" s="637">
        <v>729985</v>
      </c>
      <c r="O21" s="637"/>
      <c r="P21" s="637"/>
      <c r="Q21" s="637"/>
      <c r="R21" s="637"/>
      <c r="S21" s="637"/>
      <c r="T21" s="637"/>
      <c r="U21" s="637"/>
      <c r="V21" s="637"/>
    </row>
    <row r="22" spans="1:22" x14ac:dyDescent="0.2">
      <c r="A22" s="656" t="s">
        <v>1808</v>
      </c>
      <c r="B22" s="637">
        <v>9374847.5600000005</v>
      </c>
      <c r="C22" s="637">
        <v>15000000</v>
      </c>
      <c r="D22" s="637">
        <v>15700000</v>
      </c>
      <c r="E22" s="637">
        <v>199609</v>
      </c>
      <c r="F22" s="637">
        <v>11801664.529999999</v>
      </c>
      <c r="G22" s="637">
        <v>19251753.559999999</v>
      </c>
      <c r="H22" s="637">
        <v>7450089.0300000003</v>
      </c>
      <c r="I22" s="637">
        <v>38.698236016688298</v>
      </c>
      <c r="J22" s="637">
        <v>15700000</v>
      </c>
      <c r="M22" s="656" t="s">
        <v>1808</v>
      </c>
      <c r="N22" s="637"/>
      <c r="O22" s="637"/>
      <c r="P22" s="637"/>
      <c r="Q22" s="637"/>
      <c r="R22" s="637"/>
      <c r="S22" s="637"/>
      <c r="T22" s="637"/>
      <c r="U22" s="637"/>
      <c r="V22" s="637"/>
    </row>
    <row r="23" spans="1:22" x14ac:dyDescent="0.2">
      <c r="A23" s="656" t="s">
        <v>1809</v>
      </c>
      <c r="B23" s="637">
        <v>1936067.74</v>
      </c>
      <c r="C23" s="637">
        <v>15205000</v>
      </c>
      <c r="D23" s="637">
        <v>11786000</v>
      </c>
      <c r="E23" s="637"/>
      <c r="F23" s="637"/>
      <c r="G23" s="637">
        <v>9686000</v>
      </c>
      <c r="H23" s="637">
        <v>9686000</v>
      </c>
      <c r="I23" s="637">
        <v>100</v>
      </c>
      <c r="J23" s="637">
        <v>11786000</v>
      </c>
      <c r="M23" s="656" t="s">
        <v>1809</v>
      </c>
      <c r="N23" s="637">
        <v>0</v>
      </c>
      <c r="O23" s="637"/>
      <c r="P23" s="637"/>
      <c r="Q23" s="637"/>
      <c r="R23" s="637"/>
      <c r="S23" s="637"/>
      <c r="T23" s="637"/>
      <c r="U23" s="637"/>
      <c r="V23" s="637"/>
    </row>
    <row r="24" spans="1:22" x14ac:dyDescent="0.2">
      <c r="A24" s="656" t="s">
        <v>1810</v>
      </c>
      <c r="B24" s="637">
        <v>222993.96</v>
      </c>
      <c r="C24" s="637"/>
      <c r="D24" s="637"/>
      <c r="E24" s="637"/>
      <c r="F24" s="637"/>
      <c r="G24" s="637"/>
      <c r="H24" s="637"/>
      <c r="I24" s="637"/>
      <c r="J24" s="637"/>
      <c r="M24" s="656" t="s">
        <v>1810</v>
      </c>
      <c r="N24" s="637"/>
      <c r="O24" s="637">
        <v>30000</v>
      </c>
      <c r="P24" s="637">
        <v>30000</v>
      </c>
      <c r="Q24" s="637"/>
      <c r="R24" s="637"/>
      <c r="S24" s="637"/>
      <c r="T24" s="637"/>
      <c r="U24" s="637"/>
      <c r="V24" s="637">
        <v>30000</v>
      </c>
    </row>
    <row r="25" spans="1:22" x14ac:dyDescent="0.2">
      <c r="A25" s="656" t="s">
        <v>1811</v>
      </c>
      <c r="B25" s="637"/>
      <c r="C25" s="637"/>
      <c r="D25" s="637"/>
      <c r="E25" s="637"/>
      <c r="F25" s="637"/>
      <c r="G25" s="637"/>
      <c r="H25" s="637"/>
      <c r="I25" s="637"/>
      <c r="J25" s="637"/>
      <c r="M25" s="656" t="s">
        <v>1811</v>
      </c>
      <c r="N25" s="637"/>
      <c r="O25" s="637"/>
      <c r="P25" s="637"/>
      <c r="Q25" s="637"/>
      <c r="R25" s="637"/>
      <c r="S25" s="637"/>
      <c r="T25" s="637"/>
      <c r="U25" s="637"/>
      <c r="V25" s="637"/>
    </row>
    <row r="26" spans="1:22" x14ac:dyDescent="0.2">
      <c r="A26" s="656" t="s">
        <v>1812</v>
      </c>
      <c r="B26" s="637"/>
      <c r="C26" s="637"/>
      <c r="D26" s="637"/>
      <c r="E26" s="637"/>
      <c r="F26" s="637"/>
      <c r="G26" s="637"/>
      <c r="H26" s="637"/>
      <c r="I26" s="637"/>
      <c r="J26" s="637"/>
      <c r="M26" s="656" t="s">
        <v>1812</v>
      </c>
      <c r="N26" s="637"/>
      <c r="O26" s="637"/>
      <c r="P26" s="637"/>
      <c r="Q26" s="637"/>
      <c r="R26" s="637"/>
      <c r="S26" s="637"/>
      <c r="T26" s="637"/>
      <c r="U26" s="637"/>
      <c r="V26" s="637"/>
    </row>
    <row r="27" spans="1:22" x14ac:dyDescent="0.2">
      <c r="A27" s="639" t="s">
        <v>1813</v>
      </c>
      <c r="B27" s="637"/>
      <c r="C27" s="637">
        <v>25000</v>
      </c>
      <c r="D27" s="637">
        <v>12500</v>
      </c>
      <c r="E27" s="637"/>
      <c r="F27" s="637"/>
      <c r="G27" s="637">
        <v>12500</v>
      </c>
      <c r="H27" s="637">
        <v>12500</v>
      </c>
      <c r="I27" s="637">
        <v>100</v>
      </c>
      <c r="J27" s="637">
        <v>12500</v>
      </c>
      <c r="M27" s="639" t="s">
        <v>1813</v>
      </c>
      <c r="N27" s="637">
        <v>106802.4</v>
      </c>
      <c r="O27" s="637">
        <v>64000</v>
      </c>
      <c r="P27" s="637">
        <v>85000</v>
      </c>
      <c r="Q27" s="637"/>
      <c r="R27" s="637">
        <v>38876</v>
      </c>
      <c r="S27" s="637">
        <v>83876</v>
      </c>
      <c r="T27" s="637">
        <v>45000</v>
      </c>
      <c r="U27" s="637">
        <v>100</v>
      </c>
      <c r="V27" s="637">
        <v>85000</v>
      </c>
    </row>
    <row r="28" spans="1:22" x14ac:dyDescent="0.2">
      <c r="A28" s="656" t="s">
        <v>1814</v>
      </c>
      <c r="B28" s="637"/>
      <c r="C28" s="637"/>
      <c r="D28" s="637"/>
      <c r="E28" s="637"/>
      <c r="F28" s="637"/>
      <c r="G28" s="637"/>
      <c r="H28" s="637"/>
      <c r="I28" s="637"/>
      <c r="J28" s="637"/>
      <c r="M28" s="656" t="s">
        <v>1814</v>
      </c>
      <c r="N28" s="637"/>
      <c r="O28" s="637">
        <v>19000</v>
      </c>
      <c r="P28" s="637">
        <v>40000</v>
      </c>
      <c r="Q28" s="637"/>
      <c r="R28" s="637">
        <v>38876</v>
      </c>
      <c r="S28" s="637">
        <v>38876</v>
      </c>
      <c r="T28" s="637">
        <v>0</v>
      </c>
      <c r="U28" s="637">
        <v>0</v>
      </c>
      <c r="V28" s="637">
        <v>40000</v>
      </c>
    </row>
    <row r="29" spans="1:22" x14ac:dyDescent="0.2">
      <c r="A29" s="656" t="s">
        <v>1815</v>
      </c>
      <c r="B29" s="637"/>
      <c r="C29" s="637"/>
      <c r="D29" s="637"/>
      <c r="E29" s="637"/>
      <c r="F29" s="637"/>
      <c r="G29" s="637"/>
      <c r="H29" s="637"/>
      <c r="I29" s="637"/>
      <c r="J29" s="637"/>
      <c r="M29" s="656" t="s">
        <v>1815</v>
      </c>
      <c r="N29" s="637">
        <v>81202.399999999994</v>
      </c>
      <c r="O29" s="637">
        <v>45000</v>
      </c>
      <c r="P29" s="637">
        <v>45000</v>
      </c>
      <c r="Q29" s="637"/>
      <c r="R29" s="637"/>
      <c r="S29" s="637">
        <v>45000</v>
      </c>
      <c r="T29" s="637">
        <v>45000</v>
      </c>
      <c r="U29" s="637">
        <v>100</v>
      </c>
      <c r="V29" s="637">
        <v>45000</v>
      </c>
    </row>
    <row r="30" spans="1:22" x14ac:dyDescent="0.2">
      <c r="A30" s="656" t="s">
        <v>1816</v>
      </c>
      <c r="B30" s="637"/>
      <c r="C30" s="637">
        <v>25000</v>
      </c>
      <c r="D30" s="637">
        <v>12500</v>
      </c>
      <c r="E30" s="637"/>
      <c r="F30" s="637"/>
      <c r="G30" s="637">
        <v>12500</v>
      </c>
      <c r="H30" s="637">
        <v>12500</v>
      </c>
      <c r="I30" s="637">
        <v>100</v>
      </c>
      <c r="J30" s="637">
        <v>12500</v>
      </c>
      <c r="M30" s="656" t="s">
        <v>1816</v>
      </c>
      <c r="N30" s="637">
        <v>25600</v>
      </c>
      <c r="O30" s="637"/>
      <c r="P30" s="637"/>
      <c r="Q30" s="637"/>
      <c r="R30" s="637"/>
      <c r="S30" s="637"/>
      <c r="T30" s="637"/>
      <c r="U30" s="637"/>
      <c r="V30" s="637"/>
    </row>
    <row r="31" spans="1:22" x14ac:dyDescent="0.2">
      <c r="A31" s="656" t="s">
        <v>1817</v>
      </c>
      <c r="B31" s="637"/>
      <c r="C31" s="637"/>
      <c r="D31" s="637"/>
      <c r="E31" s="637"/>
      <c r="F31" s="637"/>
      <c r="G31" s="637"/>
      <c r="H31" s="637"/>
      <c r="I31" s="637"/>
      <c r="J31" s="637"/>
      <c r="M31" s="656" t="s">
        <v>1817</v>
      </c>
      <c r="N31" s="637"/>
      <c r="O31" s="637"/>
      <c r="P31" s="637"/>
      <c r="Q31" s="637"/>
      <c r="R31" s="637"/>
      <c r="S31" s="637"/>
      <c r="T31" s="637"/>
      <c r="U31" s="637"/>
      <c r="V31" s="637"/>
    </row>
    <row r="32" spans="1:22" x14ac:dyDescent="0.2">
      <c r="A32" s="639" t="s">
        <v>1818</v>
      </c>
      <c r="B32" s="637">
        <v>68337840.280000001</v>
      </c>
      <c r="C32" s="637">
        <v>23607000</v>
      </c>
      <c r="D32" s="637">
        <v>35108500</v>
      </c>
      <c r="E32" s="637">
        <v>16197513.48</v>
      </c>
      <c r="F32" s="637">
        <v>39345387.890000001</v>
      </c>
      <c r="G32" s="637">
        <v>25084879.27</v>
      </c>
      <c r="H32" s="637">
        <v>-14260508.619999999</v>
      </c>
      <c r="I32" s="637">
        <v>364.54409741717802</v>
      </c>
      <c r="J32" s="637">
        <v>35108500</v>
      </c>
      <c r="M32" s="639" t="s">
        <v>1818</v>
      </c>
      <c r="N32" s="637">
        <v>9050848.0299999993</v>
      </c>
      <c r="O32" s="637">
        <v>373000</v>
      </c>
      <c r="P32" s="637">
        <v>628200</v>
      </c>
      <c r="Q32" s="637"/>
      <c r="R32" s="637">
        <v>177691.5</v>
      </c>
      <c r="S32" s="637">
        <v>177691.5</v>
      </c>
      <c r="T32" s="637">
        <v>0</v>
      </c>
      <c r="U32" s="637">
        <v>0</v>
      </c>
      <c r="V32" s="637">
        <v>628200</v>
      </c>
    </row>
    <row r="33" spans="1:22" x14ac:dyDescent="0.2">
      <c r="A33" s="656" t="s">
        <v>1819</v>
      </c>
      <c r="B33" s="637"/>
      <c r="C33" s="637">
        <v>400000</v>
      </c>
      <c r="D33" s="637">
        <v>400000</v>
      </c>
      <c r="E33" s="637"/>
      <c r="F33" s="637"/>
      <c r="G33" s="637">
        <v>200000</v>
      </c>
      <c r="H33" s="637">
        <v>200000</v>
      </c>
      <c r="I33" s="637">
        <v>100</v>
      </c>
      <c r="J33" s="637">
        <v>400000</v>
      </c>
      <c r="M33" s="656" t="s">
        <v>1819</v>
      </c>
      <c r="N33" s="637">
        <v>42500</v>
      </c>
      <c r="O33" s="637"/>
      <c r="P33" s="637"/>
      <c r="Q33" s="637"/>
      <c r="R33" s="637">
        <v>0</v>
      </c>
      <c r="S33" s="637"/>
      <c r="T33" s="637">
        <v>0</v>
      </c>
      <c r="U33" s="637">
        <v>0</v>
      </c>
      <c r="V33" s="637"/>
    </row>
    <row r="34" spans="1:22" x14ac:dyDescent="0.2">
      <c r="A34" s="656" t="s">
        <v>1820</v>
      </c>
      <c r="B34" s="637">
        <v>4743198.51</v>
      </c>
      <c r="C34" s="637">
        <v>4201000</v>
      </c>
      <c r="D34" s="637">
        <v>4201000</v>
      </c>
      <c r="E34" s="637"/>
      <c r="F34" s="637">
        <v>0</v>
      </c>
      <c r="G34" s="637">
        <v>2150000</v>
      </c>
      <c r="H34" s="637">
        <v>2150000</v>
      </c>
      <c r="I34" s="637">
        <v>100</v>
      </c>
      <c r="J34" s="637">
        <v>4201000</v>
      </c>
      <c r="M34" s="656" t="s">
        <v>1820</v>
      </c>
      <c r="N34" s="637">
        <v>248319</v>
      </c>
      <c r="O34" s="637"/>
      <c r="P34" s="637"/>
      <c r="Q34" s="637"/>
      <c r="R34" s="637"/>
      <c r="S34" s="637"/>
      <c r="T34" s="637"/>
      <c r="U34" s="637"/>
      <c r="V34" s="637"/>
    </row>
    <row r="35" spans="1:22" x14ac:dyDescent="0.2">
      <c r="A35" s="656" t="s">
        <v>1821</v>
      </c>
      <c r="B35" s="637">
        <v>0</v>
      </c>
      <c r="C35" s="637"/>
      <c r="D35" s="637"/>
      <c r="E35" s="637"/>
      <c r="F35" s="637">
        <v>120450</v>
      </c>
      <c r="G35" s="637"/>
      <c r="H35" s="637">
        <v>-120450</v>
      </c>
      <c r="I35" s="637">
        <v>0</v>
      </c>
      <c r="J35" s="637"/>
      <c r="M35" s="656" t="s">
        <v>1821</v>
      </c>
      <c r="N35" s="637">
        <v>4054616.69</v>
      </c>
      <c r="O35" s="637">
        <v>18000</v>
      </c>
      <c r="P35" s="637">
        <v>18000</v>
      </c>
      <c r="Q35" s="637"/>
      <c r="R35" s="637">
        <v>1494</v>
      </c>
      <c r="S35" s="637">
        <v>1494</v>
      </c>
      <c r="T35" s="637">
        <v>0</v>
      </c>
      <c r="U35" s="637">
        <v>0</v>
      </c>
      <c r="V35" s="637">
        <v>18000</v>
      </c>
    </row>
    <row r="36" spans="1:22" x14ac:dyDescent="0.2">
      <c r="A36" s="656" t="s">
        <v>1822</v>
      </c>
      <c r="B36" s="637"/>
      <c r="C36" s="637"/>
      <c r="D36" s="637"/>
      <c r="E36" s="637"/>
      <c r="F36" s="637"/>
      <c r="G36" s="637"/>
      <c r="H36" s="637"/>
      <c r="I36" s="637"/>
      <c r="J36" s="637"/>
      <c r="M36" s="656" t="s">
        <v>1822</v>
      </c>
      <c r="N36" s="637"/>
      <c r="O36" s="637"/>
      <c r="P36" s="637"/>
      <c r="Q36" s="637"/>
      <c r="R36" s="637"/>
      <c r="S36" s="637"/>
      <c r="T36" s="637"/>
      <c r="U36" s="637"/>
      <c r="V36" s="637"/>
    </row>
    <row r="37" spans="1:22" x14ac:dyDescent="0.2">
      <c r="A37" s="656" t="s">
        <v>1823</v>
      </c>
      <c r="B37" s="637"/>
      <c r="C37" s="637"/>
      <c r="D37" s="637"/>
      <c r="E37" s="637"/>
      <c r="F37" s="637"/>
      <c r="G37" s="637"/>
      <c r="H37" s="637"/>
      <c r="I37" s="637"/>
      <c r="J37" s="637"/>
      <c r="M37" s="656" t="s">
        <v>1823</v>
      </c>
      <c r="N37" s="637"/>
      <c r="O37" s="637"/>
      <c r="P37" s="637"/>
      <c r="Q37" s="637"/>
      <c r="R37" s="637"/>
      <c r="S37" s="637"/>
      <c r="T37" s="637"/>
      <c r="U37" s="637"/>
      <c r="V37" s="637"/>
    </row>
    <row r="38" spans="1:22" x14ac:dyDescent="0.2">
      <c r="A38" s="656" t="s">
        <v>1824</v>
      </c>
      <c r="B38" s="637"/>
      <c r="C38" s="637"/>
      <c r="D38" s="637"/>
      <c r="E38" s="637"/>
      <c r="F38" s="637"/>
      <c r="G38" s="637"/>
      <c r="H38" s="637"/>
      <c r="I38" s="637"/>
      <c r="J38" s="637"/>
      <c r="M38" s="656" t="s">
        <v>1824</v>
      </c>
      <c r="N38" s="637"/>
      <c r="O38" s="637"/>
      <c r="P38" s="637"/>
      <c r="Q38" s="637"/>
      <c r="R38" s="637"/>
      <c r="S38" s="637"/>
      <c r="T38" s="637"/>
      <c r="U38" s="637"/>
      <c r="V38" s="637"/>
    </row>
    <row r="39" spans="1:22" x14ac:dyDescent="0.2">
      <c r="A39" s="656" t="s">
        <v>1825</v>
      </c>
      <c r="B39" s="637"/>
      <c r="C39" s="637">
        <v>178000</v>
      </c>
      <c r="D39" s="637">
        <v>169500</v>
      </c>
      <c r="E39" s="637"/>
      <c r="F39" s="637"/>
      <c r="G39" s="637">
        <v>50000</v>
      </c>
      <c r="H39" s="637">
        <v>50000</v>
      </c>
      <c r="I39" s="637">
        <v>100</v>
      </c>
      <c r="J39" s="637">
        <v>169500</v>
      </c>
      <c r="M39" s="656" t="s">
        <v>1825</v>
      </c>
      <c r="N39" s="637">
        <v>99271</v>
      </c>
      <c r="O39" s="637">
        <v>22000</v>
      </c>
      <c r="P39" s="637">
        <v>312000</v>
      </c>
      <c r="Q39" s="637"/>
      <c r="R39" s="637">
        <v>176197.5</v>
      </c>
      <c r="S39" s="637">
        <v>176197.5</v>
      </c>
      <c r="T39" s="637">
        <v>0</v>
      </c>
      <c r="U39" s="637">
        <v>0</v>
      </c>
      <c r="V39" s="637">
        <v>312000</v>
      </c>
    </row>
    <row r="40" spans="1:22" x14ac:dyDescent="0.2">
      <c r="A40" s="656" t="s">
        <v>1826</v>
      </c>
      <c r="B40" s="637"/>
      <c r="C40" s="637">
        <v>1000000</v>
      </c>
      <c r="D40" s="637">
        <v>1000000</v>
      </c>
      <c r="E40" s="637"/>
      <c r="F40" s="637"/>
      <c r="G40" s="637"/>
      <c r="H40" s="637"/>
      <c r="I40" s="637"/>
      <c r="J40" s="637">
        <v>1000000</v>
      </c>
      <c r="M40" s="656" t="s">
        <v>1826</v>
      </c>
      <c r="N40" s="637">
        <v>723486.78</v>
      </c>
      <c r="O40" s="637">
        <v>257000</v>
      </c>
      <c r="P40" s="637">
        <v>222200</v>
      </c>
      <c r="Q40" s="637"/>
      <c r="R40" s="637"/>
      <c r="S40" s="637"/>
      <c r="T40" s="637"/>
      <c r="U40" s="637"/>
      <c r="V40" s="637">
        <v>222200</v>
      </c>
    </row>
    <row r="41" spans="1:22" x14ac:dyDescent="0.2">
      <c r="A41" s="656" t="s">
        <v>1827</v>
      </c>
      <c r="B41" s="637"/>
      <c r="C41" s="637"/>
      <c r="D41" s="637"/>
      <c r="E41" s="637"/>
      <c r="F41" s="637"/>
      <c r="G41" s="637"/>
      <c r="H41" s="637"/>
      <c r="I41" s="637"/>
      <c r="J41" s="637"/>
      <c r="M41" s="656" t="s">
        <v>1827</v>
      </c>
      <c r="N41" s="637"/>
      <c r="O41" s="637"/>
      <c r="P41" s="637"/>
      <c r="Q41" s="637"/>
      <c r="R41" s="637"/>
      <c r="S41" s="637"/>
      <c r="T41" s="637"/>
      <c r="U41" s="637"/>
      <c r="V41" s="637"/>
    </row>
    <row r="42" spans="1:22" x14ac:dyDescent="0.2">
      <c r="A42" s="656" t="s">
        <v>1828</v>
      </c>
      <c r="B42" s="637"/>
      <c r="C42" s="637"/>
      <c r="D42" s="637"/>
      <c r="E42" s="637"/>
      <c r="F42" s="637"/>
      <c r="G42" s="637"/>
      <c r="H42" s="637"/>
      <c r="I42" s="637"/>
      <c r="J42" s="637"/>
      <c r="M42" s="656" t="s">
        <v>1828</v>
      </c>
      <c r="N42" s="637"/>
      <c r="O42" s="637">
        <v>1000</v>
      </c>
      <c r="P42" s="637">
        <v>1000</v>
      </c>
      <c r="Q42" s="637"/>
      <c r="R42" s="637"/>
      <c r="S42" s="637"/>
      <c r="T42" s="637"/>
      <c r="U42" s="637"/>
      <c r="V42" s="637">
        <v>1000</v>
      </c>
    </row>
    <row r="43" spans="1:22" x14ac:dyDescent="0.2">
      <c r="A43" s="656" t="s">
        <v>1829</v>
      </c>
      <c r="B43" s="637">
        <v>11030614.57</v>
      </c>
      <c r="C43" s="637">
        <v>3200000</v>
      </c>
      <c r="D43" s="637">
        <v>2910000</v>
      </c>
      <c r="E43" s="637"/>
      <c r="F43" s="637">
        <v>856879.27</v>
      </c>
      <c r="G43" s="637">
        <v>2256879.27</v>
      </c>
      <c r="H43" s="637">
        <v>1400000</v>
      </c>
      <c r="I43" s="637">
        <v>62.032560563153197</v>
      </c>
      <c r="J43" s="637">
        <v>2910000</v>
      </c>
      <c r="M43" s="656" t="s">
        <v>1829</v>
      </c>
      <c r="N43" s="637">
        <v>82917</v>
      </c>
      <c r="O43" s="637">
        <v>75000</v>
      </c>
      <c r="P43" s="637">
        <v>75000</v>
      </c>
      <c r="Q43" s="637"/>
      <c r="R43" s="637"/>
      <c r="S43" s="637"/>
      <c r="T43" s="637"/>
      <c r="U43" s="637"/>
      <c r="V43" s="637">
        <v>75000</v>
      </c>
    </row>
    <row r="44" spans="1:22" x14ac:dyDescent="0.2">
      <c r="A44" s="656" t="s">
        <v>1830</v>
      </c>
      <c r="B44" s="637">
        <v>12307360.66</v>
      </c>
      <c r="C44" s="637">
        <v>2000000</v>
      </c>
      <c r="D44" s="637">
        <v>2000000</v>
      </c>
      <c r="E44" s="637"/>
      <c r="F44" s="637"/>
      <c r="G44" s="637">
        <v>1000000</v>
      </c>
      <c r="H44" s="637">
        <v>1000000</v>
      </c>
      <c r="I44" s="637">
        <v>100</v>
      </c>
      <c r="J44" s="637">
        <v>2000000</v>
      </c>
      <c r="M44" s="656" t="s">
        <v>1830</v>
      </c>
      <c r="N44" s="637">
        <v>3799737.56</v>
      </c>
      <c r="O44" s="637"/>
      <c r="P44" s="637"/>
      <c r="Q44" s="637"/>
      <c r="R44" s="637"/>
      <c r="S44" s="637"/>
      <c r="T44" s="637"/>
      <c r="U44" s="637"/>
      <c r="V44" s="637"/>
    </row>
    <row r="45" spans="1:22" x14ac:dyDescent="0.2">
      <c r="A45" s="656" t="s">
        <v>1831</v>
      </c>
      <c r="B45" s="637">
        <v>40256666.539999999</v>
      </c>
      <c r="C45" s="637">
        <v>12628000</v>
      </c>
      <c r="D45" s="637">
        <v>24428000</v>
      </c>
      <c r="E45" s="637">
        <v>16197513.48</v>
      </c>
      <c r="F45" s="637">
        <v>38368058.619999997</v>
      </c>
      <c r="G45" s="637">
        <v>19428000</v>
      </c>
      <c r="H45" s="637">
        <v>-18940058.620000001</v>
      </c>
      <c r="I45" s="637">
        <v>-97.488463145974904</v>
      </c>
      <c r="J45" s="637">
        <v>24428000</v>
      </c>
      <c r="M45" s="656" t="s">
        <v>1831</v>
      </c>
      <c r="N45" s="637">
        <v>0</v>
      </c>
      <c r="O45" s="637"/>
      <c r="P45" s="637"/>
      <c r="Q45" s="637"/>
      <c r="R45" s="637"/>
      <c r="S45" s="637"/>
      <c r="T45" s="637"/>
      <c r="U45" s="637"/>
      <c r="V45" s="637"/>
    </row>
    <row r="46" spans="1:22" x14ac:dyDescent="0.2">
      <c r="A46" s="639" t="s">
        <v>1832</v>
      </c>
      <c r="B46" s="637">
        <v>59200092.93</v>
      </c>
      <c r="C46" s="637">
        <v>8599000</v>
      </c>
      <c r="D46" s="637">
        <v>8785400</v>
      </c>
      <c r="E46" s="637">
        <v>15648</v>
      </c>
      <c r="F46" s="637">
        <v>627426.54</v>
      </c>
      <c r="G46" s="637">
        <v>6141882.54</v>
      </c>
      <c r="H46" s="637">
        <v>5514456</v>
      </c>
      <c r="I46" s="637">
        <v>170.94818452429101</v>
      </c>
      <c r="J46" s="637">
        <v>8785400</v>
      </c>
      <c r="M46" s="639" t="s">
        <v>1832</v>
      </c>
      <c r="N46" s="637">
        <v>4439071.49</v>
      </c>
      <c r="O46" s="637">
        <v>8417000</v>
      </c>
      <c r="P46" s="637">
        <v>10113800</v>
      </c>
      <c r="Q46" s="637">
        <v>27533</v>
      </c>
      <c r="R46" s="637">
        <v>10261837</v>
      </c>
      <c r="S46" s="637">
        <v>12008667</v>
      </c>
      <c r="T46" s="637">
        <v>1746830</v>
      </c>
      <c r="U46" s="637">
        <v>103.553915111913</v>
      </c>
      <c r="V46" s="637">
        <v>10113800</v>
      </c>
    </row>
    <row r="47" spans="1:22" x14ac:dyDescent="0.2">
      <c r="A47" s="656" t="s">
        <v>1833</v>
      </c>
      <c r="B47" s="637">
        <v>46387332.840000004</v>
      </c>
      <c r="C47" s="637">
        <v>4600000</v>
      </c>
      <c r="D47" s="637">
        <v>4786400</v>
      </c>
      <c r="E47" s="637">
        <v>15648</v>
      </c>
      <c r="F47" s="637">
        <v>283456.53999999998</v>
      </c>
      <c r="G47" s="637">
        <v>4642882.54</v>
      </c>
      <c r="H47" s="637">
        <v>4359426</v>
      </c>
      <c r="I47" s="637">
        <v>93.894815611682503</v>
      </c>
      <c r="J47" s="637">
        <v>4786400</v>
      </c>
      <c r="M47" s="656" t="s">
        <v>1833</v>
      </c>
      <c r="N47" s="637">
        <v>-1425033.96</v>
      </c>
      <c r="O47" s="637"/>
      <c r="P47" s="637">
        <v>1700300</v>
      </c>
      <c r="Q47" s="637">
        <v>27533</v>
      </c>
      <c r="R47" s="637">
        <v>27533</v>
      </c>
      <c r="S47" s="637">
        <v>1120300</v>
      </c>
      <c r="T47" s="637">
        <v>1092767</v>
      </c>
      <c r="U47" s="637">
        <v>97.542354726412597</v>
      </c>
      <c r="V47" s="637">
        <v>1700300</v>
      </c>
    </row>
    <row r="48" spans="1:22" x14ac:dyDescent="0.2">
      <c r="A48" s="656" t="s">
        <v>1834</v>
      </c>
      <c r="B48" s="637"/>
      <c r="C48" s="637"/>
      <c r="D48" s="637"/>
      <c r="E48" s="637"/>
      <c r="F48" s="637"/>
      <c r="G48" s="637"/>
      <c r="H48" s="637"/>
      <c r="I48" s="637"/>
      <c r="J48" s="637"/>
      <c r="M48" s="656" t="s">
        <v>1834</v>
      </c>
      <c r="N48" s="637">
        <v>22400</v>
      </c>
      <c r="O48" s="637">
        <v>17000</v>
      </c>
      <c r="P48" s="637">
        <v>13500</v>
      </c>
      <c r="Q48" s="637"/>
      <c r="R48" s="637">
        <v>8280</v>
      </c>
      <c r="S48" s="637">
        <v>8280</v>
      </c>
      <c r="T48" s="637">
        <v>0</v>
      </c>
      <c r="U48" s="637">
        <v>0</v>
      </c>
      <c r="V48" s="637">
        <v>13500</v>
      </c>
    </row>
    <row r="49" spans="1:22" x14ac:dyDescent="0.2">
      <c r="A49" s="656" t="s">
        <v>1835</v>
      </c>
      <c r="B49" s="637">
        <v>12812760.09</v>
      </c>
      <c r="C49" s="637">
        <v>3999000</v>
      </c>
      <c r="D49" s="637">
        <v>3999000</v>
      </c>
      <c r="E49" s="637"/>
      <c r="F49" s="637">
        <v>343970</v>
      </c>
      <c r="G49" s="637">
        <v>1499000</v>
      </c>
      <c r="H49" s="637">
        <v>1155030</v>
      </c>
      <c r="I49" s="637">
        <v>77.053368912608406</v>
      </c>
      <c r="J49" s="637">
        <v>3999000</v>
      </c>
      <c r="M49" s="656" t="s">
        <v>1835</v>
      </c>
      <c r="N49" s="637">
        <v>5841705.4500000002</v>
      </c>
      <c r="O49" s="637">
        <v>8400000</v>
      </c>
      <c r="P49" s="637">
        <v>8400000</v>
      </c>
      <c r="Q49" s="637"/>
      <c r="R49" s="637">
        <v>10226024</v>
      </c>
      <c r="S49" s="637">
        <v>10880087</v>
      </c>
      <c r="T49" s="637">
        <v>654063</v>
      </c>
      <c r="U49" s="637">
        <v>6.0115603855005899</v>
      </c>
      <c r="V49" s="637">
        <v>8400000</v>
      </c>
    </row>
    <row r="50" spans="1:22" x14ac:dyDescent="0.2">
      <c r="A50" s="639" t="s">
        <v>1836</v>
      </c>
      <c r="B50" s="637">
        <v>396922.23</v>
      </c>
      <c r="C50" s="637">
        <v>30155000</v>
      </c>
      <c r="D50" s="637">
        <v>30407500</v>
      </c>
      <c r="E50" s="637">
        <v>-0.98</v>
      </c>
      <c r="F50" s="637">
        <v>11676994.859999999</v>
      </c>
      <c r="G50" s="637">
        <v>17784800</v>
      </c>
      <c r="H50" s="637">
        <v>6107805.1399999997</v>
      </c>
      <c r="I50" s="637">
        <v>34.3428384912959</v>
      </c>
      <c r="J50" s="637">
        <v>30407500</v>
      </c>
      <c r="M50" s="639" t="s">
        <v>1836</v>
      </c>
      <c r="N50" s="637">
        <v>4236203.12</v>
      </c>
      <c r="O50" s="637">
        <v>4570000</v>
      </c>
      <c r="P50" s="637">
        <v>4626600</v>
      </c>
      <c r="Q50" s="637">
        <v>56129.06</v>
      </c>
      <c r="R50" s="637">
        <v>271583.34999999998</v>
      </c>
      <c r="S50" s="637">
        <v>3097600</v>
      </c>
      <c r="T50" s="637">
        <v>2826016.65</v>
      </c>
      <c r="U50" s="637">
        <v>91.232459000516499</v>
      </c>
      <c r="V50" s="637">
        <v>4626600</v>
      </c>
    </row>
    <row r="51" spans="1:22" x14ac:dyDescent="0.2">
      <c r="A51" s="656" t="s">
        <v>1837</v>
      </c>
      <c r="B51" s="637">
        <v>396922.23</v>
      </c>
      <c r="C51" s="637">
        <v>30155000</v>
      </c>
      <c r="D51" s="637">
        <v>30407500</v>
      </c>
      <c r="E51" s="637">
        <v>-0.98</v>
      </c>
      <c r="F51" s="637">
        <v>11676994.859999999</v>
      </c>
      <c r="G51" s="637">
        <v>17784800</v>
      </c>
      <c r="H51" s="637">
        <v>6107805.1399999997</v>
      </c>
      <c r="I51" s="637">
        <v>34.3428384912959</v>
      </c>
      <c r="J51" s="637">
        <v>30407500</v>
      </c>
      <c r="M51" s="656" t="s">
        <v>1837</v>
      </c>
      <c r="N51" s="637">
        <v>4236203.12</v>
      </c>
      <c r="O51" s="637">
        <v>4570000</v>
      </c>
      <c r="P51" s="637">
        <v>4626600</v>
      </c>
      <c r="Q51" s="637">
        <v>56129.06</v>
      </c>
      <c r="R51" s="637">
        <v>271583.34999999998</v>
      </c>
      <c r="S51" s="637">
        <v>3097600</v>
      </c>
      <c r="T51" s="637">
        <v>2826016.65</v>
      </c>
      <c r="U51" s="637">
        <v>91.232459000516499</v>
      </c>
      <c r="V51" s="637">
        <v>4626600</v>
      </c>
    </row>
    <row r="52" spans="1:22" x14ac:dyDescent="0.2">
      <c r="A52" s="639" t="s">
        <v>1838</v>
      </c>
      <c r="B52" s="637">
        <v>0</v>
      </c>
      <c r="C52" s="637"/>
      <c r="D52" s="637"/>
      <c r="E52" s="637"/>
      <c r="F52" s="637"/>
      <c r="G52" s="637"/>
      <c r="H52" s="637"/>
      <c r="I52" s="637"/>
      <c r="J52" s="637"/>
      <c r="M52" s="639" t="s">
        <v>1838</v>
      </c>
      <c r="N52" s="637">
        <v>178069.8</v>
      </c>
      <c r="O52" s="637">
        <v>153000</v>
      </c>
      <c r="P52" s="637">
        <v>114700</v>
      </c>
      <c r="Q52" s="637"/>
      <c r="R52" s="637"/>
      <c r="S52" s="637">
        <v>76200</v>
      </c>
      <c r="T52" s="637">
        <v>76200</v>
      </c>
      <c r="U52" s="637">
        <v>200</v>
      </c>
      <c r="V52" s="637">
        <v>114700</v>
      </c>
    </row>
    <row r="53" spans="1:22" x14ac:dyDescent="0.2">
      <c r="A53" s="656" t="s">
        <v>1839</v>
      </c>
      <c r="B53" s="637"/>
      <c r="C53" s="637"/>
      <c r="D53" s="637"/>
      <c r="E53" s="637"/>
      <c r="F53" s="637"/>
      <c r="G53" s="637"/>
      <c r="H53" s="637"/>
      <c r="I53" s="637"/>
      <c r="J53" s="637"/>
      <c r="M53" s="656" t="s">
        <v>1839</v>
      </c>
      <c r="N53" s="637"/>
      <c r="O53" s="637">
        <v>3000</v>
      </c>
      <c r="P53" s="637">
        <v>3000</v>
      </c>
      <c r="Q53" s="637"/>
      <c r="R53" s="637"/>
      <c r="S53" s="637">
        <v>3000</v>
      </c>
      <c r="T53" s="637">
        <v>3000</v>
      </c>
      <c r="U53" s="637">
        <v>100</v>
      </c>
      <c r="V53" s="637">
        <v>3000</v>
      </c>
    </row>
    <row r="54" spans="1:22" x14ac:dyDescent="0.2">
      <c r="A54" s="656" t="s">
        <v>1840</v>
      </c>
      <c r="B54" s="637"/>
      <c r="C54" s="637"/>
      <c r="D54" s="637"/>
      <c r="E54" s="637"/>
      <c r="F54" s="637"/>
      <c r="G54" s="637"/>
      <c r="H54" s="637"/>
      <c r="I54" s="637"/>
      <c r="J54" s="637"/>
      <c r="M54" s="656" t="s">
        <v>1840</v>
      </c>
      <c r="N54" s="637"/>
      <c r="O54" s="637"/>
      <c r="P54" s="637"/>
      <c r="Q54" s="637"/>
      <c r="R54" s="637"/>
      <c r="S54" s="637"/>
      <c r="T54" s="637"/>
      <c r="U54" s="637"/>
      <c r="V54" s="637"/>
    </row>
    <row r="55" spans="1:22" x14ac:dyDescent="0.2">
      <c r="A55" s="656" t="s">
        <v>1841</v>
      </c>
      <c r="B55" s="637"/>
      <c r="C55" s="637"/>
      <c r="D55" s="637"/>
      <c r="E55" s="637"/>
      <c r="F55" s="637"/>
      <c r="G55" s="637"/>
      <c r="H55" s="637"/>
      <c r="I55" s="637"/>
      <c r="J55" s="637"/>
      <c r="M55" s="656" t="s">
        <v>1841</v>
      </c>
      <c r="N55" s="637">
        <v>9500</v>
      </c>
      <c r="O55" s="637"/>
      <c r="P55" s="637"/>
      <c r="Q55" s="637"/>
      <c r="R55" s="637"/>
      <c r="S55" s="637"/>
      <c r="T55" s="637"/>
      <c r="U55" s="637"/>
      <c r="V55" s="637"/>
    </row>
    <row r="56" spans="1:22" x14ac:dyDescent="0.2">
      <c r="A56" s="656" t="s">
        <v>1842</v>
      </c>
      <c r="B56" s="637">
        <v>0</v>
      </c>
      <c r="C56" s="637"/>
      <c r="D56" s="637"/>
      <c r="E56" s="637"/>
      <c r="F56" s="637"/>
      <c r="G56" s="637"/>
      <c r="H56" s="637"/>
      <c r="I56" s="637"/>
      <c r="J56" s="637"/>
      <c r="M56" s="656" t="s">
        <v>1842</v>
      </c>
      <c r="N56" s="637">
        <v>168569.8</v>
      </c>
      <c r="O56" s="637">
        <v>150000</v>
      </c>
      <c r="P56" s="637">
        <v>111700</v>
      </c>
      <c r="Q56" s="637"/>
      <c r="R56" s="637"/>
      <c r="S56" s="637">
        <v>73200</v>
      </c>
      <c r="T56" s="637">
        <v>73200</v>
      </c>
      <c r="U56" s="637">
        <v>100</v>
      </c>
      <c r="V56" s="637">
        <v>111700</v>
      </c>
    </row>
    <row r="57" spans="1:22" x14ac:dyDescent="0.2">
      <c r="A57" s="639" t="s">
        <v>1843</v>
      </c>
      <c r="B57" s="637">
        <v>15649</v>
      </c>
      <c r="C57" s="637">
        <v>109000</v>
      </c>
      <c r="D57" s="637">
        <v>78000</v>
      </c>
      <c r="E57" s="637"/>
      <c r="F57" s="637">
        <v>24829.96</v>
      </c>
      <c r="G57" s="637">
        <v>70099.960000000006</v>
      </c>
      <c r="H57" s="637">
        <v>45270</v>
      </c>
      <c r="I57" s="637">
        <v>64.579209460319206</v>
      </c>
      <c r="J57" s="637">
        <v>78000</v>
      </c>
      <c r="M57" s="639" t="s">
        <v>1843</v>
      </c>
      <c r="N57" s="637">
        <v>32585</v>
      </c>
      <c r="O57" s="637"/>
      <c r="P57" s="637">
        <v>31000</v>
      </c>
      <c r="Q57" s="637"/>
      <c r="R57" s="637">
        <v>29799</v>
      </c>
      <c r="S57" s="637">
        <v>31000</v>
      </c>
      <c r="T57" s="637">
        <v>1201</v>
      </c>
      <c r="U57" s="637">
        <v>3.8741935483871002</v>
      </c>
      <c r="V57" s="637">
        <v>31000</v>
      </c>
    </row>
    <row r="58" spans="1:22" x14ac:dyDescent="0.2">
      <c r="A58" s="656" t="s">
        <v>1844</v>
      </c>
      <c r="B58" s="637">
        <v>32975</v>
      </c>
      <c r="C58" s="637"/>
      <c r="D58" s="637"/>
      <c r="E58" s="637"/>
      <c r="F58" s="637"/>
      <c r="G58" s="637"/>
      <c r="H58" s="637"/>
      <c r="I58" s="637"/>
      <c r="J58" s="637"/>
      <c r="M58" s="656" t="s">
        <v>1844</v>
      </c>
      <c r="N58" s="637"/>
      <c r="O58" s="637"/>
      <c r="P58" s="637"/>
      <c r="Q58" s="637"/>
      <c r="R58" s="637"/>
      <c r="S58" s="637"/>
      <c r="T58" s="637"/>
      <c r="U58" s="637"/>
      <c r="V58" s="637"/>
    </row>
    <row r="59" spans="1:22" x14ac:dyDescent="0.2">
      <c r="A59" s="656" t="s">
        <v>1845</v>
      </c>
      <c r="B59" s="637">
        <v>-17326</v>
      </c>
      <c r="C59" s="637">
        <v>109000</v>
      </c>
      <c r="D59" s="637">
        <v>78000</v>
      </c>
      <c r="E59" s="637"/>
      <c r="F59" s="637">
        <v>24829.96</v>
      </c>
      <c r="G59" s="637">
        <v>70099.960000000006</v>
      </c>
      <c r="H59" s="637">
        <v>45270</v>
      </c>
      <c r="I59" s="637">
        <v>64.579209460319206</v>
      </c>
      <c r="J59" s="637">
        <v>78000</v>
      </c>
      <c r="M59" s="656" t="s">
        <v>1845</v>
      </c>
      <c r="N59" s="637">
        <v>32585</v>
      </c>
      <c r="O59" s="637"/>
      <c r="P59" s="637">
        <v>31000</v>
      </c>
      <c r="Q59" s="637"/>
      <c r="R59" s="637">
        <v>29799</v>
      </c>
      <c r="S59" s="637">
        <v>31000</v>
      </c>
      <c r="T59" s="637">
        <v>1201</v>
      </c>
      <c r="U59" s="637">
        <v>3.8741935483871002</v>
      </c>
      <c r="V59" s="637">
        <v>31000</v>
      </c>
    </row>
    <row r="60" spans="1:22" x14ac:dyDescent="0.2">
      <c r="A60" s="656" t="s">
        <v>1846</v>
      </c>
      <c r="B60" s="637"/>
      <c r="C60" s="637"/>
      <c r="D60" s="637"/>
      <c r="E60" s="637"/>
      <c r="F60" s="637"/>
      <c r="G60" s="637"/>
      <c r="H60" s="637"/>
      <c r="I60" s="637"/>
      <c r="J60" s="637"/>
      <c r="M60" s="656" t="s">
        <v>1846</v>
      </c>
      <c r="N60" s="637"/>
      <c r="O60" s="637"/>
      <c r="P60" s="637"/>
      <c r="Q60" s="637"/>
      <c r="R60" s="637"/>
      <c r="S60" s="637"/>
      <c r="T60" s="637"/>
      <c r="U60" s="637"/>
      <c r="V60" s="637"/>
    </row>
    <row r="61" spans="1:22" x14ac:dyDescent="0.2">
      <c r="A61" s="656" t="s">
        <v>1847</v>
      </c>
      <c r="B61" s="637"/>
      <c r="C61" s="637"/>
      <c r="D61" s="637"/>
      <c r="E61" s="637"/>
      <c r="F61" s="637"/>
      <c r="G61" s="637"/>
      <c r="H61" s="637"/>
      <c r="I61" s="637"/>
      <c r="J61" s="637"/>
      <c r="M61" s="656" t="s">
        <v>1847</v>
      </c>
      <c r="N61" s="637"/>
      <c r="O61" s="637"/>
      <c r="P61" s="637"/>
      <c r="Q61" s="637"/>
      <c r="R61" s="637"/>
      <c r="S61" s="637"/>
      <c r="T61" s="637"/>
      <c r="U61" s="637"/>
      <c r="V61" s="637"/>
    </row>
    <row r="62" spans="1:22" x14ac:dyDescent="0.2">
      <c r="A62" s="656" t="s">
        <v>1848</v>
      </c>
      <c r="B62" s="637"/>
      <c r="C62" s="637"/>
      <c r="D62" s="637"/>
      <c r="E62" s="637"/>
      <c r="F62" s="637"/>
      <c r="G62" s="637"/>
      <c r="H62" s="637"/>
      <c r="I62" s="637"/>
      <c r="J62" s="637"/>
      <c r="M62" s="656" t="s">
        <v>1848</v>
      </c>
      <c r="N62" s="637"/>
      <c r="O62" s="637"/>
      <c r="P62" s="637"/>
      <c r="Q62" s="637"/>
      <c r="R62" s="637"/>
      <c r="S62" s="637"/>
      <c r="T62" s="637"/>
      <c r="U62" s="637"/>
      <c r="V62" s="637"/>
    </row>
    <row r="63" spans="1:22" x14ac:dyDescent="0.2">
      <c r="A63" s="639" t="s">
        <v>1849</v>
      </c>
      <c r="B63" s="637">
        <v>93568553.480000004</v>
      </c>
      <c r="C63" s="637">
        <v>81172300</v>
      </c>
      <c r="D63" s="637">
        <v>86627800</v>
      </c>
      <c r="E63" s="637">
        <v>7932069.71</v>
      </c>
      <c r="F63" s="637">
        <v>25682257.710000001</v>
      </c>
      <c r="G63" s="637">
        <v>45318243.119999997</v>
      </c>
      <c r="H63" s="637">
        <v>19635985.41</v>
      </c>
      <c r="I63" s="637">
        <v>176.13118340123401</v>
      </c>
      <c r="J63" s="637">
        <v>86627800</v>
      </c>
      <c r="M63" s="639" t="s">
        <v>1849</v>
      </c>
      <c r="N63" s="637">
        <v>12575681.359999999</v>
      </c>
      <c r="O63" s="637">
        <v>19230000</v>
      </c>
      <c r="P63" s="637">
        <v>20593900</v>
      </c>
      <c r="Q63" s="637"/>
      <c r="R63" s="637">
        <v>1119536.42</v>
      </c>
      <c r="S63" s="637">
        <v>8197500</v>
      </c>
      <c r="T63" s="637">
        <v>7077963.5800000001</v>
      </c>
      <c r="U63" s="637">
        <v>163.41594632923801</v>
      </c>
      <c r="V63" s="637">
        <v>20593900</v>
      </c>
    </row>
    <row r="64" spans="1:22" x14ac:dyDescent="0.2">
      <c r="A64" s="656" t="s">
        <v>1850</v>
      </c>
      <c r="B64" s="637"/>
      <c r="C64" s="637"/>
      <c r="D64" s="637"/>
      <c r="E64" s="637"/>
      <c r="F64" s="637"/>
      <c r="G64" s="637"/>
      <c r="H64" s="637"/>
      <c r="I64" s="637"/>
      <c r="J64" s="637"/>
      <c r="M64" s="656" t="s">
        <v>1850</v>
      </c>
      <c r="N64" s="637">
        <v>7935</v>
      </c>
      <c r="O64" s="637">
        <v>14000</v>
      </c>
      <c r="P64" s="637">
        <v>14000</v>
      </c>
      <c r="Q64" s="637"/>
      <c r="R64" s="637">
        <v>9000</v>
      </c>
      <c r="S64" s="637">
        <v>14000</v>
      </c>
      <c r="T64" s="637">
        <v>5000</v>
      </c>
      <c r="U64" s="637">
        <v>35.714285714285701</v>
      </c>
      <c r="V64" s="637">
        <v>14000</v>
      </c>
    </row>
    <row r="65" spans="1:22" x14ac:dyDescent="0.2">
      <c r="A65" s="656" t="s">
        <v>1851</v>
      </c>
      <c r="B65" s="637"/>
      <c r="C65" s="637"/>
      <c r="D65" s="637"/>
      <c r="E65" s="637"/>
      <c r="F65" s="637"/>
      <c r="G65" s="637"/>
      <c r="H65" s="637"/>
      <c r="I65" s="637"/>
      <c r="J65" s="637"/>
      <c r="M65" s="656" t="s">
        <v>1851</v>
      </c>
      <c r="N65" s="637"/>
      <c r="O65" s="637">
        <v>4000</v>
      </c>
      <c r="P65" s="637">
        <v>4000</v>
      </c>
      <c r="Q65" s="637"/>
      <c r="R65" s="637">
        <v>2350</v>
      </c>
      <c r="S65" s="637">
        <v>4000</v>
      </c>
      <c r="T65" s="637">
        <v>1650</v>
      </c>
      <c r="U65" s="637">
        <v>41.25</v>
      </c>
      <c r="V65" s="637">
        <v>4000</v>
      </c>
    </row>
    <row r="66" spans="1:22" x14ac:dyDescent="0.2">
      <c r="A66" s="656" t="s">
        <v>1852</v>
      </c>
      <c r="B66" s="637">
        <v>84381748.769999996</v>
      </c>
      <c r="C66" s="637">
        <v>70035300</v>
      </c>
      <c r="D66" s="637">
        <v>70035300</v>
      </c>
      <c r="E66" s="637">
        <v>7689382.2999999998</v>
      </c>
      <c r="F66" s="637">
        <v>14297897.279999999</v>
      </c>
      <c r="G66" s="637">
        <v>33351564.699999999</v>
      </c>
      <c r="H66" s="637">
        <v>19053667.420000002</v>
      </c>
      <c r="I66" s="637">
        <v>57.129755654312703</v>
      </c>
      <c r="J66" s="637">
        <v>70035300</v>
      </c>
      <c r="M66" s="656" t="s">
        <v>1852</v>
      </c>
      <c r="N66" s="637">
        <v>39658.01</v>
      </c>
      <c r="O66" s="637"/>
      <c r="P66" s="637"/>
      <c r="Q66" s="637"/>
      <c r="R66" s="637"/>
      <c r="S66" s="637"/>
      <c r="T66" s="637"/>
      <c r="U66" s="637"/>
      <c r="V66" s="637"/>
    </row>
    <row r="67" spans="1:22" x14ac:dyDescent="0.2">
      <c r="A67" s="656" t="s">
        <v>1853</v>
      </c>
      <c r="B67" s="637"/>
      <c r="C67" s="637"/>
      <c r="D67" s="637"/>
      <c r="E67" s="637"/>
      <c r="F67" s="637"/>
      <c r="G67" s="637"/>
      <c r="H67" s="637"/>
      <c r="I67" s="637"/>
      <c r="J67" s="637"/>
      <c r="M67" s="656" t="s">
        <v>1853</v>
      </c>
      <c r="N67" s="637"/>
      <c r="O67" s="637"/>
      <c r="P67" s="637"/>
      <c r="Q67" s="637"/>
      <c r="R67" s="637"/>
      <c r="S67" s="637"/>
      <c r="T67" s="637"/>
      <c r="U67" s="637"/>
      <c r="V67" s="637"/>
    </row>
    <row r="68" spans="1:22" x14ac:dyDescent="0.2">
      <c r="A68" s="656" t="s">
        <v>1854</v>
      </c>
      <c r="B68" s="637">
        <v>4692111.63</v>
      </c>
      <c r="C68" s="637">
        <v>5823000</v>
      </c>
      <c r="D68" s="637">
        <v>5823000</v>
      </c>
      <c r="E68" s="637">
        <v>143600</v>
      </c>
      <c r="F68" s="637">
        <v>832980</v>
      </c>
      <c r="G68" s="637">
        <v>5053000</v>
      </c>
      <c r="H68" s="637">
        <v>4220020</v>
      </c>
      <c r="I68" s="637">
        <v>83.515139521076605</v>
      </c>
      <c r="J68" s="637">
        <v>5823000</v>
      </c>
      <c r="M68" s="656" t="s">
        <v>1854</v>
      </c>
      <c r="N68" s="637">
        <v>92870</v>
      </c>
      <c r="O68" s="637"/>
      <c r="P68" s="637"/>
      <c r="Q68" s="637"/>
      <c r="R68" s="637"/>
      <c r="S68" s="637"/>
      <c r="T68" s="637"/>
      <c r="U68" s="637"/>
      <c r="V68" s="637"/>
    </row>
    <row r="69" spans="1:22" x14ac:dyDescent="0.2">
      <c r="A69" s="656" t="s">
        <v>1855</v>
      </c>
      <c r="B69" s="637">
        <v>2301086.9</v>
      </c>
      <c r="C69" s="637">
        <v>814000</v>
      </c>
      <c r="D69" s="637">
        <v>814000</v>
      </c>
      <c r="E69" s="637"/>
      <c r="F69" s="637"/>
      <c r="G69" s="637">
        <v>500000</v>
      </c>
      <c r="H69" s="637">
        <v>500000</v>
      </c>
      <c r="I69" s="637">
        <v>100</v>
      </c>
      <c r="J69" s="637">
        <v>814000</v>
      </c>
      <c r="M69" s="656" t="s">
        <v>1855</v>
      </c>
      <c r="N69" s="637"/>
      <c r="O69" s="637"/>
      <c r="P69" s="637"/>
      <c r="Q69" s="637"/>
      <c r="R69" s="637"/>
      <c r="S69" s="637"/>
      <c r="T69" s="637"/>
      <c r="U69" s="637"/>
      <c r="V69" s="637"/>
    </row>
    <row r="70" spans="1:22" x14ac:dyDescent="0.2">
      <c r="A70" s="656" t="s">
        <v>1856</v>
      </c>
      <c r="B70" s="637">
        <v>2193606.1800000002</v>
      </c>
      <c r="C70" s="637">
        <v>4500000</v>
      </c>
      <c r="D70" s="637">
        <v>9955500</v>
      </c>
      <c r="E70" s="637">
        <v>99087.41</v>
      </c>
      <c r="F70" s="637">
        <v>10551380.43</v>
      </c>
      <c r="G70" s="637">
        <v>6413678.4199999999</v>
      </c>
      <c r="H70" s="637">
        <v>-4137702.01</v>
      </c>
      <c r="I70" s="637">
        <v>-64.513711774155297</v>
      </c>
      <c r="J70" s="637">
        <v>9955500</v>
      </c>
      <c r="M70" s="656" t="s">
        <v>1856</v>
      </c>
      <c r="N70" s="637">
        <v>12435218.35</v>
      </c>
      <c r="O70" s="637">
        <v>19212000</v>
      </c>
      <c r="P70" s="637">
        <v>20575900</v>
      </c>
      <c r="Q70" s="637"/>
      <c r="R70" s="637">
        <v>1108186.42</v>
      </c>
      <c r="S70" s="637">
        <v>8179500</v>
      </c>
      <c r="T70" s="637">
        <v>7071313.5800000001</v>
      </c>
      <c r="U70" s="637">
        <v>86.451660614952004</v>
      </c>
      <c r="V70" s="637">
        <v>20575900</v>
      </c>
    </row>
    <row r="71" spans="1:22" x14ac:dyDescent="0.2">
      <c r="A71" s="639" t="s">
        <v>1857</v>
      </c>
      <c r="B71" s="637"/>
      <c r="C71" s="637">
        <v>2000</v>
      </c>
      <c r="D71" s="637">
        <v>2000</v>
      </c>
      <c r="E71" s="637"/>
      <c r="F71" s="637"/>
      <c r="G71" s="637"/>
      <c r="H71" s="637"/>
      <c r="I71" s="637"/>
      <c r="J71" s="637">
        <v>2000</v>
      </c>
      <c r="M71" s="639" t="s">
        <v>1857</v>
      </c>
      <c r="N71" s="637"/>
      <c r="O71" s="637"/>
      <c r="P71" s="637"/>
      <c r="Q71" s="637"/>
      <c r="R71" s="637"/>
      <c r="S71" s="637"/>
      <c r="T71" s="637"/>
      <c r="U71" s="637"/>
      <c r="V71" s="637"/>
    </row>
    <row r="72" spans="1:22" x14ac:dyDescent="0.2">
      <c r="A72" s="656" t="s">
        <v>1858</v>
      </c>
      <c r="B72" s="637"/>
      <c r="C72" s="637">
        <v>2000</v>
      </c>
      <c r="D72" s="637">
        <v>2000</v>
      </c>
      <c r="E72" s="637"/>
      <c r="F72" s="637"/>
      <c r="G72" s="637"/>
      <c r="H72" s="637"/>
      <c r="I72" s="637"/>
      <c r="J72" s="637">
        <v>2000</v>
      </c>
      <c r="M72" s="656" t="s">
        <v>1858</v>
      </c>
      <c r="N72" s="637"/>
      <c r="O72" s="637"/>
      <c r="P72" s="637"/>
      <c r="Q72" s="637"/>
      <c r="R72" s="637"/>
      <c r="S72" s="637"/>
      <c r="T72" s="637"/>
      <c r="U72" s="637"/>
      <c r="V72" s="637"/>
    </row>
    <row r="73" spans="1:22" x14ac:dyDescent="0.2">
      <c r="A73" s="656" t="s">
        <v>1859</v>
      </c>
      <c r="B73" s="637"/>
      <c r="C73" s="637"/>
      <c r="D73" s="637"/>
      <c r="E73" s="637"/>
      <c r="F73" s="637"/>
      <c r="G73" s="637"/>
      <c r="H73" s="637"/>
      <c r="I73" s="637"/>
      <c r="J73" s="637"/>
      <c r="M73" s="656" t="s">
        <v>1859</v>
      </c>
      <c r="N73" s="637"/>
      <c r="O73" s="637"/>
      <c r="P73" s="637"/>
      <c r="Q73" s="637"/>
      <c r="R73" s="637"/>
      <c r="S73" s="637"/>
      <c r="T73" s="637"/>
      <c r="U73" s="637"/>
      <c r="V73" s="637"/>
    </row>
    <row r="74" spans="1:22" x14ac:dyDescent="0.2">
      <c r="A74" s="639" t="s">
        <v>1860</v>
      </c>
      <c r="B74" s="637">
        <v>497586654.89999998</v>
      </c>
      <c r="C74" s="637">
        <v>333721700</v>
      </c>
      <c r="D74" s="637">
        <v>326713300</v>
      </c>
      <c r="E74" s="637">
        <v>-22709150.57</v>
      </c>
      <c r="F74" s="637">
        <v>248564004.41</v>
      </c>
      <c r="G74" s="637">
        <v>312401191.49000001</v>
      </c>
      <c r="H74" s="637">
        <v>63837187.079999998</v>
      </c>
      <c r="I74" s="637">
        <v>68.299276060595602</v>
      </c>
      <c r="J74" s="637">
        <v>326713300</v>
      </c>
      <c r="M74" s="639" t="s">
        <v>1860</v>
      </c>
      <c r="N74" s="637">
        <v>2419465.92</v>
      </c>
      <c r="O74" s="637">
        <v>12100000</v>
      </c>
      <c r="P74" s="637">
        <v>5000000</v>
      </c>
      <c r="Q74" s="637">
        <v>25585324.850000001</v>
      </c>
      <c r="R74" s="637">
        <v>29905884.359999999</v>
      </c>
      <c r="S74" s="637">
        <v>-672052.27</v>
      </c>
      <c r="T74" s="637">
        <v>-30577936.629999999</v>
      </c>
      <c r="U74" s="637">
        <v>-4549.9342826414404</v>
      </c>
      <c r="V74" s="637">
        <v>5000000</v>
      </c>
    </row>
    <row r="75" spans="1:22" x14ac:dyDescent="0.2">
      <c r="A75" s="656" t="s">
        <v>1861</v>
      </c>
      <c r="B75" s="637"/>
      <c r="C75" s="637"/>
      <c r="D75" s="637"/>
      <c r="E75" s="637"/>
      <c r="F75" s="637"/>
      <c r="G75" s="637"/>
      <c r="H75" s="637"/>
      <c r="I75" s="637"/>
      <c r="J75" s="637"/>
      <c r="M75" s="656" t="s">
        <v>1861</v>
      </c>
      <c r="N75" s="637"/>
      <c r="O75" s="637"/>
      <c r="P75" s="637"/>
      <c r="Q75" s="637"/>
      <c r="R75" s="637"/>
      <c r="S75" s="637"/>
      <c r="T75" s="637"/>
      <c r="U75" s="637"/>
      <c r="V75" s="637"/>
    </row>
    <row r="76" spans="1:22" x14ac:dyDescent="0.2">
      <c r="A76" s="656" t="s">
        <v>1862</v>
      </c>
      <c r="B76" s="637">
        <v>104380477.98</v>
      </c>
      <c r="C76" s="637">
        <v>44739000</v>
      </c>
      <c r="D76" s="637">
        <v>67057000</v>
      </c>
      <c r="E76" s="637">
        <v>20987.79</v>
      </c>
      <c r="F76" s="637">
        <v>58380683.219999999</v>
      </c>
      <c r="G76" s="637">
        <v>73957359.290000007</v>
      </c>
      <c r="H76" s="637">
        <v>15576676.07</v>
      </c>
      <c r="I76" s="637">
        <v>21.061698551081399</v>
      </c>
      <c r="J76" s="637">
        <v>67057000</v>
      </c>
      <c r="M76" s="656" t="s">
        <v>1862</v>
      </c>
      <c r="N76" s="637">
        <v>170000</v>
      </c>
      <c r="O76" s="637"/>
      <c r="P76" s="637"/>
      <c r="Q76" s="637"/>
      <c r="R76" s="637"/>
      <c r="S76" s="637"/>
      <c r="T76" s="637"/>
      <c r="U76" s="637"/>
      <c r="V76" s="637"/>
    </row>
    <row r="77" spans="1:22" x14ac:dyDescent="0.2">
      <c r="A77" s="656" t="s">
        <v>1863</v>
      </c>
      <c r="B77" s="637">
        <v>7600610.6399999997</v>
      </c>
      <c r="C77" s="637">
        <v>9259000</v>
      </c>
      <c r="D77" s="637">
        <v>14259000</v>
      </c>
      <c r="E77" s="637">
        <v>290845.84999999998</v>
      </c>
      <c r="F77" s="637">
        <v>6991556.7400000002</v>
      </c>
      <c r="G77" s="637">
        <v>9000000</v>
      </c>
      <c r="H77" s="637">
        <v>2008443.26</v>
      </c>
      <c r="I77" s="637">
        <v>22.316036222222198</v>
      </c>
      <c r="J77" s="637">
        <v>14259000</v>
      </c>
      <c r="M77" s="656" t="s">
        <v>1863</v>
      </c>
      <c r="N77" s="637"/>
      <c r="O77" s="637"/>
      <c r="P77" s="637"/>
      <c r="Q77" s="637"/>
      <c r="R77" s="637"/>
      <c r="S77" s="637"/>
      <c r="T77" s="637"/>
      <c r="U77" s="637"/>
      <c r="V77" s="637"/>
    </row>
    <row r="78" spans="1:22" x14ac:dyDescent="0.2">
      <c r="A78" s="656" t="s">
        <v>1864</v>
      </c>
      <c r="B78" s="637">
        <v>3999895.52</v>
      </c>
      <c r="C78" s="637">
        <v>13715000</v>
      </c>
      <c r="D78" s="637">
        <v>22915000</v>
      </c>
      <c r="E78" s="637">
        <v>803590.55</v>
      </c>
      <c r="F78" s="637">
        <v>31739077.949999999</v>
      </c>
      <c r="G78" s="637">
        <v>25369970.899999999</v>
      </c>
      <c r="H78" s="637">
        <v>-6369107.0499999998</v>
      </c>
      <c r="I78" s="637">
        <v>-25.1049048306161</v>
      </c>
      <c r="J78" s="637">
        <v>22915000</v>
      </c>
      <c r="M78" s="656" t="s">
        <v>1864</v>
      </c>
      <c r="N78" s="637"/>
      <c r="O78" s="637"/>
      <c r="P78" s="637"/>
      <c r="Q78" s="637"/>
      <c r="R78" s="637"/>
      <c r="S78" s="637"/>
      <c r="T78" s="637"/>
      <c r="U78" s="637"/>
      <c r="V78" s="637"/>
    </row>
    <row r="79" spans="1:22" x14ac:dyDescent="0.2">
      <c r="A79" s="656" t="s">
        <v>1865</v>
      </c>
      <c r="B79" s="637"/>
      <c r="C79" s="637"/>
      <c r="D79" s="637"/>
      <c r="E79" s="637"/>
      <c r="F79" s="637"/>
      <c r="G79" s="637"/>
      <c r="H79" s="637"/>
      <c r="I79" s="637"/>
      <c r="J79" s="637"/>
      <c r="M79" s="656" t="s">
        <v>1865</v>
      </c>
      <c r="N79" s="637">
        <v>626460.18000000005</v>
      </c>
      <c r="O79" s="637"/>
      <c r="P79" s="637"/>
      <c r="Q79" s="637"/>
      <c r="R79" s="637">
        <v>0</v>
      </c>
      <c r="S79" s="637"/>
      <c r="T79" s="637">
        <v>0</v>
      </c>
      <c r="U79" s="637">
        <v>0</v>
      </c>
      <c r="V79" s="637"/>
    </row>
    <row r="80" spans="1:22" x14ac:dyDescent="0.2">
      <c r="A80" s="656" t="s">
        <v>1866</v>
      </c>
      <c r="B80" s="637"/>
      <c r="C80" s="637"/>
      <c r="D80" s="637"/>
      <c r="E80" s="637"/>
      <c r="F80" s="637"/>
      <c r="G80" s="637"/>
      <c r="H80" s="637"/>
      <c r="I80" s="637"/>
      <c r="J80" s="637"/>
      <c r="M80" s="656" t="s">
        <v>1866</v>
      </c>
      <c r="N80" s="637"/>
      <c r="O80" s="637"/>
      <c r="P80" s="637"/>
      <c r="Q80" s="637"/>
      <c r="R80" s="637"/>
      <c r="S80" s="637"/>
      <c r="T80" s="637"/>
      <c r="U80" s="637"/>
      <c r="V80" s="637"/>
    </row>
    <row r="81" spans="1:22" x14ac:dyDescent="0.2">
      <c r="A81" s="656" t="s">
        <v>1867</v>
      </c>
      <c r="B81" s="637">
        <v>43430554.259999998</v>
      </c>
      <c r="C81" s="637">
        <v>40000000</v>
      </c>
      <c r="D81" s="637">
        <v>36000000</v>
      </c>
      <c r="E81" s="637"/>
      <c r="F81" s="637">
        <v>34987093.93</v>
      </c>
      <c r="G81" s="637">
        <v>34590334.93</v>
      </c>
      <c r="H81" s="637">
        <v>-396759</v>
      </c>
      <c r="I81" s="637">
        <v>-1.1470227183486801</v>
      </c>
      <c r="J81" s="637">
        <v>36000000</v>
      </c>
      <c r="M81" s="656" t="s">
        <v>1867</v>
      </c>
      <c r="N81" s="637"/>
      <c r="O81" s="637"/>
      <c r="P81" s="637"/>
      <c r="Q81" s="637"/>
      <c r="R81" s="637"/>
      <c r="S81" s="637"/>
      <c r="T81" s="637"/>
      <c r="U81" s="637"/>
      <c r="V81" s="637"/>
    </row>
    <row r="82" spans="1:22" x14ac:dyDescent="0.2">
      <c r="A82" s="656" t="s">
        <v>1868</v>
      </c>
      <c r="B82" s="637">
        <v>28274333.52</v>
      </c>
      <c r="C82" s="637">
        <v>4000000</v>
      </c>
      <c r="D82" s="637">
        <v>3900100</v>
      </c>
      <c r="E82" s="637"/>
      <c r="F82" s="637">
        <v>1900051.88</v>
      </c>
      <c r="G82" s="637">
        <v>1900051.88</v>
      </c>
      <c r="H82" s="637">
        <v>0</v>
      </c>
      <c r="I82" s="637">
        <v>0</v>
      </c>
      <c r="J82" s="637">
        <v>3900100</v>
      </c>
      <c r="M82" s="656" t="s">
        <v>1868</v>
      </c>
      <c r="N82" s="637"/>
      <c r="O82" s="637">
        <v>100000</v>
      </c>
      <c r="P82" s="637"/>
      <c r="Q82" s="637"/>
      <c r="R82" s="637"/>
      <c r="S82" s="637"/>
      <c r="T82" s="637"/>
      <c r="U82" s="637"/>
      <c r="V82" s="637"/>
    </row>
    <row r="83" spans="1:22" x14ac:dyDescent="0.2">
      <c r="A83" s="656" t="s">
        <v>1508</v>
      </c>
      <c r="B83" s="637">
        <v>21513075.210000001</v>
      </c>
      <c r="C83" s="637">
        <v>3000000</v>
      </c>
      <c r="D83" s="637">
        <v>3000000</v>
      </c>
      <c r="E83" s="637">
        <v>0</v>
      </c>
      <c r="F83" s="637">
        <v>0</v>
      </c>
      <c r="G83" s="637"/>
      <c r="H83" s="637">
        <v>0</v>
      </c>
      <c r="I83" s="637">
        <v>0</v>
      </c>
      <c r="J83" s="637">
        <v>3000000</v>
      </c>
      <c r="M83" s="656" t="s">
        <v>1508</v>
      </c>
      <c r="N83" s="637">
        <v>0</v>
      </c>
      <c r="O83" s="637">
        <v>4000000</v>
      </c>
      <c r="P83" s="637"/>
      <c r="Q83" s="637"/>
      <c r="R83" s="637"/>
      <c r="S83" s="637"/>
      <c r="T83" s="637"/>
      <c r="U83" s="637"/>
      <c r="V83" s="637"/>
    </row>
    <row r="84" spans="1:22" x14ac:dyDescent="0.2">
      <c r="A84" s="656" t="s">
        <v>1869</v>
      </c>
      <c r="B84" s="637"/>
      <c r="C84" s="637"/>
      <c r="D84" s="637"/>
      <c r="E84" s="637"/>
      <c r="F84" s="637"/>
      <c r="G84" s="637"/>
      <c r="H84" s="637"/>
      <c r="I84" s="637"/>
      <c r="J84" s="637"/>
      <c r="M84" s="656" t="s">
        <v>1869</v>
      </c>
      <c r="N84" s="637"/>
      <c r="O84" s="637"/>
      <c r="P84" s="637"/>
      <c r="Q84" s="637"/>
      <c r="R84" s="637"/>
      <c r="S84" s="637"/>
      <c r="T84" s="637"/>
      <c r="U84" s="637"/>
      <c r="V84" s="637"/>
    </row>
    <row r="85" spans="1:22" x14ac:dyDescent="0.2">
      <c r="A85" s="656" t="s">
        <v>1870</v>
      </c>
      <c r="B85" s="637">
        <v>11023363.48</v>
      </c>
      <c r="C85" s="637">
        <v>1000000</v>
      </c>
      <c r="D85" s="637">
        <v>1000000</v>
      </c>
      <c r="E85" s="637"/>
      <c r="F85" s="637"/>
      <c r="G85" s="637"/>
      <c r="H85" s="637"/>
      <c r="I85" s="637"/>
      <c r="J85" s="637">
        <v>1000000</v>
      </c>
      <c r="M85" s="656" t="s">
        <v>1870</v>
      </c>
      <c r="N85" s="637"/>
      <c r="O85" s="637">
        <v>3000000</v>
      </c>
      <c r="P85" s="637"/>
      <c r="Q85" s="637"/>
      <c r="R85" s="637"/>
      <c r="S85" s="637"/>
      <c r="T85" s="637"/>
      <c r="U85" s="637"/>
      <c r="V85" s="637"/>
    </row>
    <row r="86" spans="1:22" x14ac:dyDescent="0.2">
      <c r="A86" s="656" t="s">
        <v>1871</v>
      </c>
      <c r="B86" s="637">
        <v>32992408.870000001</v>
      </c>
      <c r="C86" s="637">
        <v>18419000</v>
      </c>
      <c r="D86" s="637">
        <v>21338000</v>
      </c>
      <c r="E86" s="637"/>
      <c r="F86" s="637">
        <v>14460671.24</v>
      </c>
      <c r="G86" s="637">
        <v>17619037.91</v>
      </c>
      <c r="H86" s="637">
        <v>3158366.67</v>
      </c>
      <c r="I86" s="637">
        <v>17.9258747619097</v>
      </c>
      <c r="J86" s="637">
        <v>21338000</v>
      </c>
      <c r="M86" s="656" t="s">
        <v>1871</v>
      </c>
      <c r="N86" s="637">
        <v>44233.25</v>
      </c>
      <c r="O86" s="637"/>
      <c r="P86" s="637"/>
      <c r="Q86" s="637"/>
      <c r="R86" s="637"/>
      <c r="S86" s="637"/>
      <c r="T86" s="637"/>
      <c r="U86" s="637"/>
      <c r="V86" s="637"/>
    </row>
    <row r="87" spans="1:22" x14ac:dyDescent="0.2">
      <c r="A87" s="656" t="s">
        <v>1872</v>
      </c>
      <c r="B87" s="637">
        <v>244371935.41999999</v>
      </c>
      <c r="C87" s="637">
        <v>199589700</v>
      </c>
      <c r="D87" s="637">
        <v>157244200</v>
      </c>
      <c r="E87" s="637">
        <v>-23824574.760000002</v>
      </c>
      <c r="F87" s="637">
        <v>100104869.45</v>
      </c>
      <c r="G87" s="637">
        <v>149964436.58000001</v>
      </c>
      <c r="H87" s="637">
        <v>49859567.130000003</v>
      </c>
      <c r="I87" s="637">
        <v>33.247594074346999</v>
      </c>
      <c r="J87" s="637">
        <v>157244200</v>
      </c>
      <c r="M87" s="656" t="s">
        <v>1872</v>
      </c>
      <c r="N87" s="637">
        <v>1578772.49</v>
      </c>
      <c r="O87" s="637">
        <v>5000000</v>
      </c>
      <c r="P87" s="637">
        <v>5000000</v>
      </c>
      <c r="Q87" s="637">
        <v>25585324.850000001</v>
      </c>
      <c r="R87" s="637">
        <v>29905884.359999999</v>
      </c>
      <c r="S87" s="637">
        <v>-672052.27</v>
      </c>
      <c r="T87" s="637">
        <v>-30577936.629999999</v>
      </c>
      <c r="U87" s="637">
        <v>-4549.9342826414404</v>
      </c>
      <c r="V87" s="637">
        <v>5000000</v>
      </c>
    </row>
    <row r="88" spans="1:22" x14ac:dyDescent="0.2">
      <c r="A88" s="639" t="s">
        <v>1873</v>
      </c>
      <c r="B88" s="637"/>
      <c r="C88" s="637"/>
      <c r="D88" s="637"/>
      <c r="E88" s="637"/>
      <c r="F88" s="637"/>
      <c r="G88" s="637"/>
      <c r="H88" s="637"/>
      <c r="I88" s="637"/>
      <c r="J88" s="637"/>
      <c r="M88" s="639" t="s">
        <v>1873</v>
      </c>
      <c r="N88" s="637"/>
      <c r="O88" s="637">
        <v>8000</v>
      </c>
      <c r="P88" s="637">
        <v>8000</v>
      </c>
      <c r="Q88" s="637"/>
      <c r="R88" s="637"/>
      <c r="S88" s="637"/>
      <c r="T88" s="637"/>
      <c r="U88" s="637"/>
      <c r="V88" s="637">
        <v>8000</v>
      </c>
    </row>
    <row r="89" spans="1:22" x14ac:dyDescent="0.2">
      <c r="A89" s="656" t="s">
        <v>1874</v>
      </c>
      <c r="B89" s="637"/>
      <c r="C89" s="637"/>
      <c r="D89" s="637"/>
      <c r="E89" s="637"/>
      <c r="F89" s="637"/>
      <c r="G89" s="637"/>
      <c r="H89" s="637"/>
      <c r="I89" s="637"/>
      <c r="J89" s="637"/>
      <c r="M89" s="656" t="s">
        <v>1874</v>
      </c>
      <c r="N89" s="637"/>
      <c r="O89" s="637">
        <v>8000</v>
      </c>
      <c r="P89" s="637">
        <v>8000</v>
      </c>
      <c r="Q89" s="637"/>
      <c r="R89" s="637"/>
      <c r="S89" s="637"/>
      <c r="T89" s="637"/>
      <c r="U89" s="637"/>
      <c r="V89" s="637">
        <v>8000</v>
      </c>
    </row>
    <row r="90" spans="1:22" x14ac:dyDescent="0.2">
      <c r="A90" s="656" t="s">
        <v>1875</v>
      </c>
      <c r="B90" s="637"/>
      <c r="C90" s="637"/>
      <c r="D90" s="637"/>
      <c r="E90" s="637"/>
      <c r="F90" s="637"/>
      <c r="G90" s="637"/>
      <c r="H90" s="637"/>
      <c r="I90" s="637"/>
      <c r="J90" s="637"/>
      <c r="M90" s="656" t="s">
        <v>1875</v>
      </c>
      <c r="N90" s="637"/>
      <c r="O90" s="637"/>
      <c r="P90" s="637"/>
      <c r="Q90" s="637"/>
      <c r="R90" s="637"/>
      <c r="S90" s="637"/>
      <c r="T90" s="637"/>
      <c r="U90" s="637"/>
      <c r="V90" s="637"/>
    </row>
    <row r="91" spans="1:22" x14ac:dyDescent="0.2">
      <c r="A91" s="639" t="s">
        <v>1876</v>
      </c>
      <c r="B91" s="637">
        <v>15802.49</v>
      </c>
      <c r="C91" s="637">
        <v>23000</v>
      </c>
      <c r="D91" s="637"/>
      <c r="E91" s="637"/>
      <c r="F91" s="637"/>
      <c r="G91" s="637"/>
      <c r="H91" s="637"/>
      <c r="I91" s="637"/>
      <c r="J91" s="637"/>
      <c r="M91" s="639" t="s">
        <v>1876</v>
      </c>
      <c r="N91" s="637">
        <v>82292.460000000006</v>
      </c>
      <c r="O91" s="637">
        <v>29000</v>
      </c>
      <c r="P91" s="637">
        <v>52000</v>
      </c>
      <c r="Q91" s="637"/>
      <c r="R91" s="637">
        <v>15071.95</v>
      </c>
      <c r="S91" s="637">
        <v>15071.95</v>
      </c>
      <c r="T91" s="637">
        <v>0</v>
      </c>
      <c r="U91" s="637">
        <v>0</v>
      </c>
      <c r="V91" s="637">
        <v>52000</v>
      </c>
    </row>
    <row r="92" spans="1:22" x14ac:dyDescent="0.2">
      <c r="A92" s="656" t="s">
        <v>1877</v>
      </c>
      <c r="B92" s="637"/>
      <c r="C92" s="637"/>
      <c r="D92" s="637"/>
      <c r="E92" s="637"/>
      <c r="F92" s="637"/>
      <c r="G92" s="637"/>
      <c r="H92" s="637"/>
      <c r="I92" s="637"/>
      <c r="J92" s="637"/>
      <c r="M92" s="656" t="s">
        <v>1877</v>
      </c>
      <c r="N92" s="637">
        <v>59133.53</v>
      </c>
      <c r="O92" s="637">
        <v>25000</v>
      </c>
      <c r="P92" s="637">
        <v>52000</v>
      </c>
      <c r="Q92" s="637"/>
      <c r="R92" s="637">
        <v>15071.95</v>
      </c>
      <c r="S92" s="637">
        <v>15071.95</v>
      </c>
      <c r="T92" s="637">
        <v>0</v>
      </c>
      <c r="U92" s="637">
        <v>0</v>
      </c>
      <c r="V92" s="637">
        <v>52000</v>
      </c>
    </row>
    <row r="93" spans="1:22" x14ac:dyDescent="0.2">
      <c r="A93" s="656" t="s">
        <v>1878</v>
      </c>
      <c r="B93" s="637"/>
      <c r="C93" s="637"/>
      <c r="D93" s="637"/>
      <c r="E93" s="637"/>
      <c r="F93" s="637"/>
      <c r="G93" s="637"/>
      <c r="H93" s="637"/>
      <c r="I93" s="637"/>
      <c r="J93" s="637"/>
      <c r="M93" s="656" t="s">
        <v>1878</v>
      </c>
      <c r="N93" s="637"/>
      <c r="O93" s="637"/>
      <c r="P93" s="637"/>
      <c r="Q93" s="637"/>
      <c r="R93" s="637"/>
      <c r="S93" s="637"/>
      <c r="T93" s="637"/>
      <c r="U93" s="637"/>
      <c r="V93" s="637"/>
    </row>
    <row r="94" spans="1:22" x14ac:dyDescent="0.2">
      <c r="A94" s="656" t="s">
        <v>1879</v>
      </c>
      <c r="B94" s="637"/>
      <c r="C94" s="637"/>
      <c r="D94" s="637"/>
      <c r="E94" s="637"/>
      <c r="F94" s="637"/>
      <c r="G94" s="637"/>
      <c r="H94" s="637"/>
      <c r="I94" s="637"/>
      <c r="J94" s="637"/>
      <c r="M94" s="656" t="s">
        <v>1879</v>
      </c>
      <c r="N94" s="637"/>
      <c r="O94" s="637"/>
      <c r="P94" s="637"/>
      <c r="Q94" s="637"/>
      <c r="R94" s="637"/>
      <c r="S94" s="637"/>
      <c r="T94" s="637"/>
      <c r="U94" s="637"/>
      <c r="V94" s="637"/>
    </row>
    <row r="95" spans="1:22" x14ac:dyDescent="0.2">
      <c r="A95" s="656" t="s">
        <v>1880</v>
      </c>
      <c r="B95" s="637"/>
      <c r="C95" s="637"/>
      <c r="D95" s="637"/>
      <c r="E95" s="637"/>
      <c r="F95" s="637"/>
      <c r="G95" s="637"/>
      <c r="H95" s="637"/>
      <c r="I95" s="637"/>
      <c r="J95" s="637"/>
      <c r="M95" s="656" t="s">
        <v>1880</v>
      </c>
      <c r="N95" s="637"/>
      <c r="O95" s="637"/>
      <c r="P95" s="637"/>
      <c r="Q95" s="637"/>
      <c r="R95" s="637"/>
      <c r="S95" s="637"/>
      <c r="T95" s="637"/>
      <c r="U95" s="637"/>
      <c r="V95" s="637"/>
    </row>
    <row r="96" spans="1:22" x14ac:dyDescent="0.2">
      <c r="A96" s="656" t="s">
        <v>1881</v>
      </c>
      <c r="B96" s="637"/>
      <c r="C96" s="637"/>
      <c r="D96" s="637"/>
      <c r="E96" s="637"/>
      <c r="F96" s="637"/>
      <c r="G96" s="637"/>
      <c r="H96" s="637"/>
      <c r="I96" s="637"/>
      <c r="J96" s="637"/>
      <c r="M96" s="656" t="s">
        <v>1881</v>
      </c>
      <c r="N96" s="637"/>
      <c r="O96" s="637"/>
      <c r="P96" s="637"/>
      <c r="Q96" s="637"/>
      <c r="R96" s="637"/>
      <c r="S96" s="637"/>
      <c r="T96" s="637"/>
      <c r="U96" s="637"/>
      <c r="V96" s="637"/>
    </row>
    <row r="97" spans="1:22" x14ac:dyDescent="0.2">
      <c r="A97" s="656" t="s">
        <v>1882</v>
      </c>
      <c r="B97" s="637"/>
      <c r="C97" s="637">
        <v>11000</v>
      </c>
      <c r="D97" s="637"/>
      <c r="E97" s="637"/>
      <c r="F97" s="637"/>
      <c r="G97" s="637"/>
      <c r="H97" s="637"/>
      <c r="I97" s="637"/>
      <c r="J97" s="637"/>
      <c r="M97" s="656" t="s">
        <v>1882</v>
      </c>
      <c r="N97" s="637">
        <v>23158.93</v>
      </c>
      <c r="O97" s="637"/>
      <c r="P97" s="637"/>
      <c r="Q97" s="637"/>
      <c r="R97" s="637"/>
      <c r="S97" s="637"/>
      <c r="T97" s="637"/>
      <c r="U97" s="637"/>
      <c r="V97" s="637"/>
    </row>
    <row r="98" spans="1:22" x14ac:dyDescent="0.2">
      <c r="A98" s="656" t="s">
        <v>1883</v>
      </c>
      <c r="B98" s="637"/>
      <c r="C98" s="637"/>
      <c r="D98" s="637"/>
      <c r="E98" s="637"/>
      <c r="F98" s="637"/>
      <c r="G98" s="637"/>
      <c r="H98" s="637"/>
      <c r="I98" s="637"/>
      <c r="J98" s="637"/>
      <c r="M98" s="656" t="s">
        <v>1883</v>
      </c>
      <c r="N98" s="637"/>
      <c r="O98" s="637"/>
      <c r="P98" s="637"/>
      <c r="Q98" s="637"/>
      <c r="R98" s="637"/>
      <c r="S98" s="637"/>
      <c r="T98" s="637"/>
      <c r="U98" s="637"/>
      <c r="V98" s="637"/>
    </row>
    <row r="99" spans="1:22" x14ac:dyDescent="0.2">
      <c r="A99" s="656" t="s">
        <v>1884</v>
      </c>
      <c r="B99" s="637">
        <v>15802.49</v>
      </c>
      <c r="C99" s="637">
        <v>12000</v>
      </c>
      <c r="D99" s="637"/>
      <c r="E99" s="637"/>
      <c r="F99" s="637"/>
      <c r="G99" s="637"/>
      <c r="H99" s="637"/>
      <c r="I99" s="637"/>
      <c r="J99" s="637"/>
      <c r="M99" s="656" t="s">
        <v>1884</v>
      </c>
      <c r="N99" s="637"/>
      <c r="O99" s="637"/>
      <c r="P99" s="637"/>
      <c r="Q99" s="637"/>
      <c r="R99" s="637"/>
      <c r="S99" s="637"/>
      <c r="T99" s="637"/>
      <c r="U99" s="637"/>
      <c r="V99" s="637"/>
    </row>
    <row r="100" spans="1:22" x14ac:dyDescent="0.2">
      <c r="A100" s="656" t="s">
        <v>1885</v>
      </c>
      <c r="B100" s="637"/>
      <c r="C100" s="637"/>
      <c r="D100" s="637"/>
      <c r="E100" s="637"/>
      <c r="F100" s="637"/>
      <c r="G100" s="637"/>
      <c r="H100" s="637"/>
      <c r="I100" s="637"/>
      <c r="J100" s="637"/>
      <c r="M100" s="656" t="s">
        <v>1885</v>
      </c>
      <c r="N100" s="637"/>
      <c r="O100" s="637"/>
      <c r="P100" s="637"/>
      <c r="Q100" s="637"/>
      <c r="R100" s="637"/>
      <c r="S100" s="637"/>
      <c r="T100" s="637"/>
      <c r="U100" s="637"/>
      <c r="V100" s="637"/>
    </row>
    <row r="101" spans="1:22" x14ac:dyDescent="0.2">
      <c r="A101" s="656" t="s">
        <v>1886</v>
      </c>
      <c r="B101" s="637"/>
      <c r="C101" s="637"/>
      <c r="D101" s="637"/>
      <c r="E101" s="637"/>
      <c r="F101" s="637"/>
      <c r="G101" s="637"/>
      <c r="H101" s="637"/>
      <c r="I101" s="637"/>
      <c r="J101" s="637"/>
      <c r="M101" s="656" t="s">
        <v>1886</v>
      </c>
      <c r="N101" s="637"/>
      <c r="O101" s="637">
        <v>4000</v>
      </c>
      <c r="P101" s="637"/>
      <c r="Q101" s="637"/>
      <c r="R101" s="637"/>
      <c r="S101" s="637"/>
      <c r="T101" s="637"/>
      <c r="U101" s="637"/>
      <c r="V101" s="637"/>
    </row>
    <row r="102" spans="1:22" x14ac:dyDescent="0.2">
      <c r="A102" s="656" t="s">
        <v>1887</v>
      </c>
      <c r="B102" s="637"/>
      <c r="C102" s="637"/>
      <c r="D102" s="637"/>
      <c r="E102" s="637"/>
      <c r="F102" s="637"/>
      <c r="G102" s="637"/>
      <c r="H102" s="637"/>
      <c r="I102" s="637"/>
      <c r="J102" s="637"/>
      <c r="M102" s="656" t="s">
        <v>1887</v>
      </c>
      <c r="N102" s="637"/>
      <c r="O102" s="637"/>
      <c r="P102" s="637"/>
      <c r="Q102" s="637"/>
      <c r="R102" s="637"/>
      <c r="S102" s="637"/>
      <c r="T102" s="637"/>
      <c r="U102" s="637"/>
      <c r="V102" s="637"/>
    </row>
    <row r="103" spans="1:22" x14ac:dyDescent="0.2">
      <c r="A103" s="656" t="s">
        <v>1888</v>
      </c>
      <c r="B103" s="637"/>
      <c r="C103" s="637"/>
      <c r="D103" s="637"/>
      <c r="E103" s="637"/>
      <c r="F103" s="637"/>
      <c r="G103" s="637"/>
      <c r="H103" s="637"/>
      <c r="I103" s="637"/>
      <c r="J103" s="637"/>
      <c r="M103" s="656" t="s">
        <v>1888</v>
      </c>
      <c r="N103" s="637"/>
      <c r="O103" s="637"/>
      <c r="P103" s="637"/>
      <c r="Q103" s="637"/>
      <c r="R103" s="637"/>
      <c r="S103" s="637"/>
      <c r="T103" s="637"/>
      <c r="U103" s="637"/>
      <c r="V103" s="637"/>
    </row>
    <row r="104" spans="1:22" x14ac:dyDescent="0.2">
      <c r="A104" s="656" t="s">
        <v>1889</v>
      </c>
      <c r="B104" s="637"/>
      <c r="C104" s="637"/>
      <c r="D104" s="637"/>
      <c r="E104" s="637"/>
      <c r="F104" s="637"/>
      <c r="G104" s="637"/>
      <c r="H104" s="637"/>
      <c r="I104" s="637"/>
      <c r="J104" s="637"/>
      <c r="M104" s="656" t="s">
        <v>1889</v>
      </c>
      <c r="N104" s="637"/>
      <c r="O104" s="637"/>
      <c r="P104" s="637"/>
      <c r="Q104" s="637"/>
      <c r="R104" s="637"/>
      <c r="S104" s="637"/>
      <c r="T104" s="637"/>
      <c r="U104" s="637"/>
      <c r="V104" s="637"/>
    </row>
    <row r="105" spans="1:22" x14ac:dyDescent="0.2">
      <c r="A105" s="639" t="s">
        <v>1890</v>
      </c>
      <c r="B105" s="637"/>
      <c r="C105" s="637"/>
      <c r="D105" s="637"/>
      <c r="E105" s="637"/>
      <c r="F105" s="637"/>
      <c r="G105" s="637"/>
      <c r="H105" s="637"/>
      <c r="I105" s="637"/>
      <c r="J105" s="637"/>
      <c r="M105" s="639" t="s">
        <v>1890</v>
      </c>
      <c r="N105" s="637"/>
      <c r="O105" s="637"/>
      <c r="P105" s="637"/>
      <c r="Q105" s="637"/>
      <c r="R105" s="637"/>
      <c r="S105" s="637"/>
      <c r="T105" s="637"/>
      <c r="U105" s="637"/>
      <c r="V105" s="637"/>
    </row>
    <row r="106" spans="1:22" x14ac:dyDescent="0.2">
      <c r="A106" s="656" t="s">
        <v>1891</v>
      </c>
      <c r="B106" s="637"/>
      <c r="C106" s="637"/>
      <c r="D106" s="637"/>
      <c r="E106" s="637"/>
      <c r="F106" s="637"/>
      <c r="G106" s="637"/>
      <c r="H106" s="637"/>
      <c r="I106" s="637"/>
      <c r="J106" s="637"/>
      <c r="M106" s="656" t="s">
        <v>1891</v>
      </c>
      <c r="N106" s="637"/>
      <c r="O106" s="637"/>
      <c r="P106" s="637"/>
      <c r="Q106" s="637"/>
      <c r="R106" s="637"/>
      <c r="S106" s="637"/>
      <c r="T106" s="637"/>
      <c r="U106" s="637"/>
      <c r="V106" s="637"/>
    </row>
    <row r="107" spans="1:22" x14ac:dyDescent="0.2">
      <c r="A107" s="639" t="s">
        <v>1892</v>
      </c>
      <c r="B107" s="637">
        <v>11270622.619999999</v>
      </c>
      <c r="C107" s="637">
        <v>19300000</v>
      </c>
      <c r="D107" s="637">
        <v>18300000</v>
      </c>
      <c r="E107" s="637">
        <v>4739852.82</v>
      </c>
      <c r="F107" s="637">
        <v>12650830.25</v>
      </c>
      <c r="G107" s="637">
        <v>11328954.48</v>
      </c>
      <c r="H107" s="637">
        <v>-1321875.77</v>
      </c>
      <c r="I107" s="637">
        <v>-11.6681179391587</v>
      </c>
      <c r="J107" s="637">
        <v>18300000</v>
      </c>
      <c r="M107" s="639" t="s">
        <v>1892</v>
      </c>
      <c r="N107" s="637">
        <v>403695.67</v>
      </c>
      <c r="O107" s="637"/>
      <c r="P107" s="637"/>
      <c r="Q107" s="637"/>
      <c r="R107" s="637"/>
      <c r="S107" s="637"/>
      <c r="T107" s="637"/>
      <c r="U107" s="637"/>
      <c r="V107" s="637"/>
    </row>
    <row r="108" spans="1:22" x14ac:dyDescent="0.2">
      <c r="A108" s="656" t="s">
        <v>1893</v>
      </c>
      <c r="B108" s="637">
        <v>-200514.59</v>
      </c>
      <c r="C108" s="637"/>
      <c r="D108" s="637"/>
      <c r="E108" s="637"/>
      <c r="F108" s="637"/>
      <c r="G108" s="637"/>
      <c r="H108" s="637"/>
      <c r="I108" s="637"/>
      <c r="J108" s="637"/>
      <c r="M108" s="656" t="s">
        <v>1893</v>
      </c>
      <c r="N108" s="637">
        <v>444878.31</v>
      </c>
      <c r="O108" s="637"/>
      <c r="P108" s="637"/>
      <c r="Q108" s="637"/>
      <c r="R108" s="637"/>
      <c r="S108" s="637"/>
      <c r="T108" s="637"/>
      <c r="U108" s="637"/>
      <c r="V108" s="637"/>
    </row>
    <row r="109" spans="1:22" x14ac:dyDescent="0.2">
      <c r="A109" s="656" t="s">
        <v>1894</v>
      </c>
      <c r="B109" s="637">
        <v>11471137.210000001</v>
      </c>
      <c r="C109" s="637">
        <v>19300000</v>
      </c>
      <c r="D109" s="637">
        <v>18300000</v>
      </c>
      <c r="E109" s="637">
        <v>4739852.82</v>
      </c>
      <c r="F109" s="637">
        <v>12650830.25</v>
      </c>
      <c r="G109" s="637">
        <v>11328954.48</v>
      </c>
      <c r="H109" s="637">
        <v>-1321875.77</v>
      </c>
      <c r="I109" s="637">
        <v>-11.6681179391587</v>
      </c>
      <c r="J109" s="637">
        <v>18300000</v>
      </c>
      <c r="M109" s="656" t="s">
        <v>1894</v>
      </c>
      <c r="N109" s="637">
        <v>-41182.639999999999</v>
      </c>
      <c r="O109" s="637"/>
      <c r="P109" s="637"/>
      <c r="Q109" s="637"/>
      <c r="R109" s="637"/>
      <c r="S109" s="637"/>
      <c r="T109" s="637"/>
      <c r="U109" s="637"/>
      <c r="V109" s="637"/>
    </row>
    <row r="110" spans="1:22" x14ac:dyDescent="0.2">
      <c r="A110" s="638" t="s">
        <v>1895</v>
      </c>
      <c r="B110" s="637">
        <v>762044857.20000005</v>
      </c>
      <c r="C110" s="637">
        <v>565992000</v>
      </c>
      <c r="D110" s="637">
        <v>586494000</v>
      </c>
      <c r="E110" s="637">
        <v>6375541.46</v>
      </c>
      <c r="F110" s="637">
        <v>362743802.51999998</v>
      </c>
      <c r="G110" s="637">
        <v>472206480.22000003</v>
      </c>
      <c r="H110" s="637">
        <v>109462677.7</v>
      </c>
      <c r="I110" s="637">
        <v>1452.43712426092</v>
      </c>
      <c r="J110" s="637">
        <v>586494000</v>
      </c>
      <c r="M110" s="638" t="s">
        <v>1895</v>
      </c>
      <c r="N110" s="637">
        <v>35712240.25</v>
      </c>
      <c r="O110" s="637">
        <v>45002000</v>
      </c>
      <c r="P110" s="637">
        <v>41311200</v>
      </c>
      <c r="Q110" s="637">
        <v>25668986.91</v>
      </c>
      <c r="R110" s="637">
        <v>41830179.579999998</v>
      </c>
      <c r="S110" s="637">
        <v>23039454.18</v>
      </c>
      <c r="T110" s="637">
        <v>-18790725.399999999</v>
      </c>
      <c r="U110" s="637">
        <v>-3829.2803627936401</v>
      </c>
      <c r="V110" s="637">
        <v>41311200</v>
      </c>
    </row>
  </sheetData>
  <pageMargins left="0.7" right="0.7" top="0.75" bottom="0.75" header="0.3" footer="0.3"/>
  <customProperties>
    <customPr name="_pios_id" r:id="rId1"/>
    <customPr name="CofWorksheetType"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sheetPr>
  <dimension ref="A1:K92"/>
  <sheetViews>
    <sheetView showGridLines="0" zoomScaleNormal="100" workbookViewId="0">
      <pane xSplit="2" ySplit="4" topLeftCell="C5" activePane="bottomRight" state="frozen"/>
      <selection pane="topRight"/>
      <selection pane="bottomLeft"/>
      <selection pane="bottomRight" sqref="A1:G1"/>
    </sheetView>
  </sheetViews>
  <sheetFormatPr defaultColWidth="9.28515625" defaultRowHeight="12.75" x14ac:dyDescent="0.25"/>
  <cols>
    <col min="1" max="1" width="35.7109375" style="21" customWidth="1"/>
    <col min="2" max="2" width="3.28515625" style="47" customWidth="1"/>
    <col min="3" max="3" width="9.7109375" style="21" bestFit="1" customWidth="1"/>
    <col min="4" max="4" width="9.5703125" style="21" bestFit="1" customWidth="1"/>
    <col min="5" max="5" width="8.7109375" style="21" customWidth="1"/>
    <col min="6" max="6" width="8.7109375" style="21" bestFit="1" customWidth="1"/>
    <col min="7" max="7" width="9.5703125" style="21" bestFit="1" customWidth="1"/>
    <col min="8" max="8" width="9.7109375" style="21" customWidth="1"/>
    <col min="9" max="9" width="9.5703125" style="21" customWidth="1"/>
    <col min="10" max="10" width="9.7109375" style="21" customWidth="1"/>
    <col min="11" max="13" width="9.5703125" style="21" customWidth="1"/>
    <col min="14" max="14" width="9.7109375" style="21" customWidth="1"/>
    <col min="15" max="17" width="9.5703125" style="21" customWidth="1"/>
    <col min="18" max="19" width="9.7109375" style="21" customWidth="1"/>
    <col min="20" max="16384" width="9.28515625" style="21"/>
  </cols>
  <sheetData>
    <row r="1" spans="1:11" x14ac:dyDescent="0.25">
      <c r="A1" s="851" t="str">
        <f>muni&amp; " - "&amp;S71E&amp; " - "&amp;date</f>
        <v>KZN282 uMhlathuze - Table C6 Monthly Budget Statement - Financial Position - M10 April</v>
      </c>
      <c r="B1" s="851"/>
      <c r="C1" s="851"/>
      <c r="D1" s="851"/>
      <c r="E1" s="851"/>
      <c r="F1" s="851"/>
      <c r="G1" s="851"/>
    </row>
    <row r="2" spans="1:11" x14ac:dyDescent="0.25">
      <c r="A2" s="837" t="str">
        <f>desc</f>
        <v>Description</v>
      </c>
      <c r="B2" s="830" t="str">
        <f>head27</f>
        <v>Ref</v>
      </c>
      <c r="C2" s="409" t="str">
        <f>Head1</f>
        <v>2023/24</v>
      </c>
      <c r="D2" s="139" t="str">
        <f>Head2</f>
        <v>Budget Year 2024/25</v>
      </c>
      <c r="E2" s="124"/>
      <c r="F2" s="124"/>
      <c r="G2" s="125"/>
    </row>
    <row r="3" spans="1:11" ht="25.5" x14ac:dyDescent="0.25">
      <c r="A3" s="838"/>
      <c r="B3" s="841"/>
      <c r="C3" s="409" t="str">
        <f>Head5</f>
        <v>Audited Outcome</v>
      </c>
      <c r="D3" s="147" t="str">
        <f>Head6</f>
        <v>Original Budget</v>
      </c>
      <c r="E3" s="76" t="str">
        <f>Head7</f>
        <v>Adjusted Budget</v>
      </c>
      <c r="F3" s="76" t="str">
        <f>Head39</f>
        <v>YearTD actual</v>
      </c>
      <c r="G3" s="86" t="str">
        <f>Head8</f>
        <v>Full Year Forecast</v>
      </c>
    </row>
    <row r="4" spans="1:11" x14ac:dyDescent="0.25">
      <c r="A4" s="28" t="s">
        <v>615</v>
      </c>
      <c r="B4" s="72">
        <v>1</v>
      </c>
      <c r="C4" s="93"/>
      <c r="D4" s="140"/>
      <c r="E4" s="135"/>
      <c r="F4" s="57"/>
      <c r="G4" s="120"/>
    </row>
    <row r="5" spans="1:11" ht="11.25" customHeight="1" x14ac:dyDescent="0.25">
      <c r="A5" s="92" t="s">
        <v>498</v>
      </c>
      <c r="B5" s="410"/>
      <c r="C5" s="377"/>
      <c r="D5" s="411"/>
      <c r="E5" s="325"/>
      <c r="F5" s="325"/>
      <c r="G5" s="121"/>
    </row>
    <row r="6" spans="1:11" ht="11.25" customHeight="1" x14ac:dyDescent="0.25">
      <c r="A6" s="59" t="s">
        <v>499</v>
      </c>
      <c r="B6" s="90"/>
      <c r="C6" s="354"/>
      <c r="D6" s="412"/>
      <c r="E6" s="413"/>
      <c r="F6" s="413"/>
      <c r="G6" s="414"/>
    </row>
    <row r="7" spans="1:11" ht="12.75" customHeight="1" x14ac:dyDescent="0.25">
      <c r="A7" s="612" t="s">
        <v>1311</v>
      </c>
      <c r="B7" s="90"/>
      <c r="C7" s="366">
        <f>'C6Q'!B9</f>
        <v>272466860.55000001</v>
      </c>
      <c r="D7" s="366">
        <f>'C6Q'!C9</f>
        <v>505852550.83999997</v>
      </c>
      <c r="E7" s="415">
        <f>'C6Q'!D9</f>
        <v>147423883.05000001</v>
      </c>
      <c r="F7" s="331">
        <f>'C6Q'!E9</f>
        <v>554189295.71000004</v>
      </c>
      <c r="G7" s="332">
        <f>'C6Q'!F9</f>
        <v>147423883.05000001</v>
      </c>
      <c r="H7" s="33"/>
      <c r="I7" s="33"/>
      <c r="J7" s="33"/>
      <c r="K7" s="33"/>
    </row>
    <row r="8" spans="1:11" ht="12.75" customHeight="1" x14ac:dyDescent="0.25">
      <c r="A8" s="612" t="s">
        <v>1312</v>
      </c>
      <c r="B8" s="90"/>
      <c r="C8" s="366">
        <f>'C6Q'!B10</f>
        <v>584513854.63</v>
      </c>
      <c r="D8" s="366">
        <f>'C6Q'!C10</f>
        <v>872916307.63999999</v>
      </c>
      <c r="E8" s="415">
        <f>'C6Q'!D10</f>
        <v>559125532.75999999</v>
      </c>
      <c r="F8" s="331">
        <f>'C6Q'!E10</f>
        <v>483217032.31999999</v>
      </c>
      <c r="G8" s="332">
        <f>'C6Q'!F10</f>
        <v>559125532.75999999</v>
      </c>
    </row>
    <row r="9" spans="1:11" ht="12.75" customHeight="1" x14ac:dyDescent="0.25">
      <c r="A9" s="612" t="s">
        <v>1313</v>
      </c>
      <c r="B9" s="90"/>
      <c r="C9" s="366">
        <f>'C6Q'!B11</f>
        <v>160739754.86000001</v>
      </c>
      <c r="D9" s="366">
        <f>'C6Q'!C11</f>
        <v>179243644.19999999</v>
      </c>
      <c r="E9" s="415">
        <f>'C6Q'!D11</f>
        <v>161956469.88</v>
      </c>
      <c r="F9" s="331">
        <f>'C6Q'!E11</f>
        <v>172451150.49000001</v>
      </c>
      <c r="G9" s="367">
        <f>'C6Q'!F11</f>
        <v>161956469.88</v>
      </c>
      <c r="J9" s="750"/>
    </row>
    <row r="10" spans="1:11" ht="12.75" customHeight="1" x14ac:dyDescent="0.25">
      <c r="A10" s="30" t="s">
        <v>1314</v>
      </c>
      <c r="B10" s="90"/>
      <c r="C10" s="366">
        <f>'C6Q'!B12</f>
        <v>0</v>
      </c>
      <c r="D10" s="366">
        <f>'C6Q'!C12</f>
        <v>0</v>
      </c>
      <c r="E10" s="415">
        <f>'C6Q'!D12</f>
        <v>0</v>
      </c>
      <c r="F10" s="331">
        <f>'C6Q'!E12</f>
        <v>0</v>
      </c>
      <c r="G10" s="367">
        <f>'C6Q'!F12</f>
        <v>0</v>
      </c>
    </row>
    <row r="11" spans="1:11" ht="12.75" customHeight="1" x14ac:dyDescent="0.25">
      <c r="A11" s="30" t="s">
        <v>539</v>
      </c>
      <c r="B11" s="90"/>
      <c r="C11" s="366">
        <f>'C6Q'!B13</f>
        <v>104118079.19</v>
      </c>
      <c r="D11" s="366">
        <f>'C6Q'!C13</f>
        <v>134240863.06</v>
      </c>
      <c r="E11" s="415">
        <f>'C6Q'!D13</f>
        <v>104103479.19</v>
      </c>
      <c r="F11" s="331">
        <f>'C6Q'!E13</f>
        <v>140347267.06999999</v>
      </c>
      <c r="G11" s="367">
        <f>'C6Q'!F13</f>
        <v>104103479.19</v>
      </c>
    </row>
    <row r="12" spans="1:11" ht="12.75" customHeight="1" x14ac:dyDescent="0.25">
      <c r="A12" s="30" t="s">
        <v>1315</v>
      </c>
      <c r="B12" s="90"/>
      <c r="C12" s="366">
        <f>'C6Q'!B14</f>
        <v>47245705.850000001</v>
      </c>
      <c r="D12" s="366">
        <f>'C6Q'!C14</f>
        <v>46546808.850000001</v>
      </c>
      <c r="E12" s="415">
        <f>'C6Q'!D14</f>
        <v>82759462</v>
      </c>
      <c r="F12" s="331">
        <f>'C6Q'!E14</f>
        <v>58793859.719999999</v>
      </c>
      <c r="G12" s="367">
        <f>'C6Q'!F14</f>
        <v>82759462</v>
      </c>
    </row>
    <row r="13" spans="1:11" ht="12.75" customHeight="1" x14ac:dyDescent="0.25">
      <c r="A13" s="30" t="s">
        <v>1316</v>
      </c>
      <c r="B13" s="90"/>
      <c r="C13" s="366">
        <f>'C6Q'!B15</f>
        <v>1364321.31</v>
      </c>
      <c r="D13" s="366">
        <f>'C6Q'!C15</f>
        <v>9755772.2400000002</v>
      </c>
      <c r="E13" s="415">
        <f>'C6Q'!D15</f>
        <v>1364319.51</v>
      </c>
      <c r="F13" s="331">
        <f>'C6Q'!E15</f>
        <v>9746365.5299999993</v>
      </c>
      <c r="G13" s="367">
        <f>'C6Q'!F15</f>
        <v>1364319.51</v>
      </c>
      <c r="H13" s="416"/>
    </row>
    <row r="14" spans="1:11" ht="12.75" customHeight="1" x14ac:dyDescent="0.25">
      <c r="A14" s="62" t="s">
        <v>581</v>
      </c>
      <c r="B14" s="127"/>
      <c r="C14" s="137">
        <f>SUM(C7:C13)</f>
        <v>1170448576.3899999</v>
      </c>
      <c r="D14" s="53">
        <f>SUM(D7:D13)</f>
        <v>1748555946.8299999</v>
      </c>
      <c r="E14" s="150">
        <f>SUM(E7:E13)</f>
        <v>1056733146.3899999</v>
      </c>
      <c r="F14" s="52">
        <f>SUM(F7:F13)</f>
        <v>1418744970.8399999</v>
      </c>
      <c r="G14" s="312">
        <f>SUM(G7:G13)</f>
        <v>1056733146.3899999</v>
      </c>
    </row>
    <row r="15" spans="1:11" ht="12.75" customHeight="1" x14ac:dyDescent="0.25">
      <c r="A15" s="59" t="s">
        <v>414</v>
      </c>
      <c r="B15" s="90"/>
      <c r="C15" s="74"/>
      <c r="D15" s="36"/>
      <c r="E15" s="148"/>
      <c r="F15" s="34"/>
      <c r="G15" s="35"/>
    </row>
    <row r="16" spans="1:11" ht="12.75" customHeight="1" x14ac:dyDescent="0.25">
      <c r="A16" s="30" t="s">
        <v>500</v>
      </c>
      <c r="B16" s="90"/>
      <c r="C16" s="366">
        <f>'C6Q'!B17</f>
        <v>0</v>
      </c>
      <c r="D16" s="366">
        <f>'C6Q'!C17</f>
        <v>0</v>
      </c>
      <c r="E16" s="415">
        <f>'C6Q'!D17</f>
        <v>0</v>
      </c>
      <c r="F16" s="331">
        <f>'C6Q'!E17</f>
        <v>0</v>
      </c>
      <c r="G16" s="367">
        <f>'C6Q'!F17</f>
        <v>0</v>
      </c>
      <c r="H16" s="30"/>
    </row>
    <row r="17" spans="1:8" ht="12.75" customHeight="1" x14ac:dyDescent="0.25">
      <c r="A17" s="30" t="s">
        <v>538</v>
      </c>
      <c r="B17" s="90"/>
      <c r="C17" s="366">
        <f>'C6Q'!B18</f>
        <v>77085125.519999996</v>
      </c>
      <c r="D17" s="366">
        <f>'C6Q'!C18</f>
        <v>133852494.2</v>
      </c>
      <c r="E17" s="415">
        <f>'C6Q'!D18</f>
        <v>93800785.019999996</v>
      </c>
      <c r="F17" s="331">
        <f>'C6Q'!E18</f>
        <v>90913988.209999993</v>
      </c>
      <c r="G17" s="367">
        <f>'C6Q'!F18</f>
        <v>93800785.019999996</v>
      </c>
      <c r="H17" s="30"/>
    </row>
    <row r="18" spans="1:8" ht="12.75" customHeight="1" x14ac:dyDescent="0.25">
      <c r="A18" s="30" t="s">
        <v>537</v>
      </c>
      <c r="B18" s="90"/>
      <c r="C18" s="366">
        <f>'C6Q'!B19</f>
        <v>7601425562.6099997</v>
      </c>
      <c r="D18" s="366">
        <f>'C6Q'!C19</f>
        <v>7977934587.6199999</v>
      </c>
      <c r="E18" s="415">
        <f>'C6Q'!D19</f>
        <v>7866593894.6000004</v>
      </c>
      <c r="F18" s="331">
        <f>'C6Q'!E19</f>
        <v>7725987024.6400003</v>
      </c>
      <c r="G18" s="367">
        <f>'C6Q'!F19</f>
        <v>7866593894.6000004</v>
      </c>
      <c r="H18" s="30"/>
    </row>
    <row r="19" spans="1:8" ht="12.75" customHeight="1" x14ac:dyDescent="0.25">
      <c r="A19" s="30" t="s">
        <v>1317</v>
      </c>
      <c r="B19" s="90"/>
      <c r="C19" s="366">
        <f>'C6Q'!B20</f>
        <v>0</v>
      </c>
      <c r="D19" s="366">
        <f>'C6Q'!C20</f>
        <v>0</v>
      </c>
      <c r="E19" s="415">
        <f>'C6Q'!D20</f>
        <v>0</v>
      </c>
      <c r="F19" s="331">
        <f>'C6Q'!E20</f>
        <v>0</v>
      </c>
      <c r="G19" s="367">
        <f>'C6Q'!F20</f>
        <v>0</v>
      </c>
      <c r="H19" s="30"/>
    </row>
    <row r="20" spans="1:8" ht="12.75" customHeight="1" x14ac:dyDescent="0.25">
      <c r="A20" s="612" t="s">
        <v>1318</v>
      </c>
      <c r="B20" s="90"/>
      <c r="C20" s="366"/>
      <c r="D20" s="366"/>
      <c r="E20" s="415"/>
      <c r="F20" s="331"/>
      <c r="G20" s="367"/>
    </row>
    <row r="21" spans="1:8" x14ac:dyDescent="0.25">
      <c r="A21" s="612" t="s">
        <v>618</v>
      </c>
      <c r="B21" s="90"/>
      <c r="C21" s="366">
        <f>'C6Q'!B21</f>
        <v>2464610.5299999998</v>
      </c>
      <c r="D21" s="366">
        <f>'C6Q'!C21</f>
        <v>2464610.5299999998</v>
      </c>
      <c r="E21" s="415">
        <f>'C6Q'!D21</f>
        <v>2464610.5299999998</v>
      </c>
      <c r="F21" s="331">
        <f>'C6Q'!E21</f>
        <v>2464610.5299999998</v>
      </c>
      <c r="G21" s="367">
        <f>'C6Q'!F21</f>
        <v>2464610.5299999998</v>
      </c>
      <c r="H21" s="30"/>
    </row>
    <row r="22" spans="1:8" ht="12.75" customHeight="1" x14ac:dyDescent="0.25">
      <c r="A22" s="30" t="s">
        <v>1319</v>
      </c>
      <c r="B22" s="90"/>
      <c r="C22" s="366">
        <f>'C6Q'!B22</f>
        <v>151632441.86000001</v>
      </c>
      <c r="D22" s="366">
        <f>'C6Q'!C22</f>
        <v>160228296.09</v>
      </c>
      <c r="E22" s="415">
        <f>'C6Q'!D22</f>
        <v>144794544.16</v>
      </c>
      <c r="F22" s="331">
        <f>'C6Q'!E22</f>
        <v>127075309.37</v>
      </c>
      <c r="G22" s="367">
        <f>'C6Q'!F22</f>
        <v>144794544.16</v>
      </c>
      <c r="H22" s="30"/>
    </row>
    <row r="23" spans="1:8" ht="12.75" customHeight="1" x14ac:dyDescent="0.25">
      <c r="A23" s="612" t="s">
        <v>1312</v>
      </c>
      <c r="B23" s="90"/>
      <c r="C23" s="366">
        <f>'C6Q'!B23</f>
        <v>0</v>
      </c>
      <c r="D23" s="366">
        <f>'C6Q'!C23</f>
        <v>0</v>
      </c>
      <c r="E23" s="415">
        <f>'C6Q'!D23</f>
        <v>0</v>
      </c>
      <c r="F23" s="331">
        <f>'C6Q'!E23</f>
        <v>0</v>
      </c>
      <c r="G23" s="367">
        <f>'C6Q'!F23</f>
        <v>0</v>
      </c>
      <c r="H23" s="30"/>
    </row>
    <row r="24" spans="1:8" ht="12.75" customHeight="1" x14ac:dyDescent="0.25">
      <c r="A24" s="612" t="s">
        <v>1320</v>
      </c>
      <c r="B24" s="90"/>
      <c r="C24" s="366">
        <f>'C6Q'!B24</f>
        <v>0</v>
      </c>
      <c r="D24" s="366">
        <f>'C6Q'!C24</f>
        <v>0</v>
      </c>
      <c r="E24" s="415">
        <f>'C6Q'!D24</f>
        <v>0</v>
      </c>
      <c r="F24" s="331">
        <f>'C6Q'!E24</f>
        <v>0</v>
      </c>
      <c r="G24" s="367">
        <f>'C6Q'!F24</f>
        <v>0</v>
      </c>
      <c r="H24" s="30"/>
    </row>
    <row r="25" spans="1:8" ht="12.75" customHeight="1" x14ac:dyDescent="0.25">
      <c r="A25" s="30" t="s">
        <v>738</v>
      </c>
      <c r="B25" s="90"/>
      <c r="C25" s="366">
        <f>'C6Q'!B25</f>
        <v>0</v>
      </c>
      <c r="D25" s="366">
        <f>'C6Q'!C25</f>
        <v>0</v>
      </c>
      <c r="E25" s="415">
        <f>'C6Q'!D25</f>
        <v>0</v>
      </c>
      <c r="F25" s="331">
        <f>'C6Q'!E25</f>
        <v>0</v>
      </c>
      <c r="G25" s="367">
        <f>'C6Q'!F25</f>
        <v>0</v>
      </c>
      <c r="H25" s="30"/>
    </row>
    <row r="26" spans="1:8" ht="12.75" customHeight="1" x14ac:dyDescent="0.25">
      <c r="A26" s="62" t="s">
        <v>580</v>
      </c>
      <c r="B26" s="127"/>
      <c r="C26" s="137">
        <f>SUM(C16:C25)</f>
        <v>7832607740.5199995</v>
      </c>
      <c r="D26" s="53">
        <f>SUM(D16:D25)</f>
        <v>8274479988.4399996</v>
      </c>
      <c r="E26" s="150">
        <f>SUM(E16:E25)</f>
        <v>8107653834.3100004</v>
      </c>
      <c r="F26" s="52">
        <f>SUM(F16:F25)</f>
        <v>7946440932.75</v>
      </c>
      <c r="G26" s="312">
        <f>SUM(G16:G25)</f>
        <v>8107653834.3100004</v>
      </c>
      <c r="H26" s="30"/>
    </row>
    <row r="27" spans="1:8" ht="12.75" customHeight="1" x14ac:dyDescent="0.25">
      <c r="A27" s="62" t="s">
        <v>724</v>
      </c>
      <c r="B27" s="127"/>
      <c r="C27" s="137">
        <f>C14+C26</f>
        <v>9003056316.9099998</v>
      </c>
      <c r="D27" s="53">
        <f>D14+D26</f>
        <v>10023035935.27</v>
      </c>
      <c r="E27" s="150">
        <f>E14+E26</f>
        <v>9164386980.7000008</v>
      </c>
      <c r="F27" s="52">
        <f>F14+F26</f>
        <v>9365185903.5900002</v>
      </c>
      <c r="G27" s="312">
        <f>G14+G26</f>
        <v>9164386980.7000008</v>
      </c>
    </row>
    <row r="28" spans="1:8" ht="12.75" customHeight="1" x14ac:dyDescent="0.25">
      <c r="A28" s="29" t="s">
        <v>415</v>
      </c>
      <c r="B28" s="90"/>
      <c r="C28" s="74"/>
      <c r="D28" s="36"/>
      <c r="E28" s="148"/>
      <c r="F28" s="34"/>
      <c r="G28" s="78"/>
    </row>
    <row r="29" spans="1:8" ht="12.75" customHeight="1" x14ac:dyDescent="0.25">
      <c r="A29" s="59" t="s">
        <v>501</v>
      </c>
      <c r="B29" s="417"/>
      <c r="C29" s="74"/>
      <c r="D29" s="36"/>
      <c r="E29" s="148"/>
      <c r="F29" s="34"/>
      <c r="G29" s="78"/>
    </row>
    <row r="30" spans="1:8" ht="12.75" customHeight="1" x14ac:dyDescent="0.25">
      <c r="A30" s="30" t="s">
        <v>692</v>
      </c>
      <c r="B30" s="90"/>
      <c r="C30" s="366">
        <f>-'C6Q'!B28</f>
        <v>0</v>
      </c>
      <c r="D30" s="366">
        <f>-'C6Q'!C28</f>
        <v>0</v>
      </c>
      <c r="E30" s="415">
        <f>-'C6Q'!D28</f>
        <v>0</v>
      </c>
      <c r="F30" s="331">
        <f>-'C6Q'!E28</f>
        <v>0</v>
      </c>
      <c r="G30" s="367">
        <f>-'C6Q'!F28</f>
        <v>0</v>
      </c>
    </row>
    <row r="31" spans="1:8" ht="12.6" customHeight="1" x14ac:dyDescent="0.25">
      <c r="A31" s="613" t="s">
        <v>1321</v>
      </c>
      <c r="B31" s="90"/>
      <c r="C31" s="366">
        <f>-'C6Q'!B29</f>
        <v>156969603.43000001</v>
      </c>
      <c r="D31" s="366">
        <f>-'C6Q'!C29</f>
        <v>247333410.80000001</v>
      </c>
      <c r="E31" s="415">
        <f>-'C6Q'!D29</f>
        <v>193672847.38</v>
      </c>
      <c r="F31" s="331">
        <f>-'C6Q'!E29</f>
        <v>187351349.84999999</v>
      </c>
      <c r="G31" s="367">
        <f>-'C6Q'!F29</f>
        <v>193672847.38</v>
      </c>
    </row>
    <row r="32" spans="1:8" ht="12.6" customHeight="1" x14ac:dyDescent="0.25">
      <c r="A32" s="30" t="s">
        <v>536</v>
      </c>
      <c r="B32" s="90"/>
      <c r="C32" s="366">
        <f>-'C6Q'!B30</f>
        <v>55278077.200000003</v>
      </c>
      <c r="D32" s="366">
        <f>-'C6Q'!C30</f>
        <v>57000281.869999997</v>
      </c>
      <c r="E32" s="415">
        <f>-'C6Q'!D30</f>
        <v>55278077.200000003</v>
      </c>
      <c r="F32" s="331">
        <f>-'C6Q'!E30</f>
        <v>56787887.759999998</v>
      </c>
      <c r="G32" s="367">
        <f>-'C6Q'!F30</f>
        <v>55278077.200000003</v>
      </c>
    </row>
    <row r="33" spans="1:10" ht="12.6" customHeight="1" x14ac:dyDescent="0.25">
      <c r="A33" s="612" t="s">
        <v>1322</v>
      </c>
      <c r="B33" s="90"/>
      <c r="C33" s="366">
        <f>-'C6Q'!B31</f>
        <v>612754861.92999995</v>
      </c>
      <c r="D33" s="366">
        <f>-'C6Q'!C31</f>
        <v>753891081.78999996</v>
      </c>
      <c r="E33" s="415">
        <f>-'C6Q'!D31</f>
        <v>643066461.92999995</v>
      </c>
      <c r="F33" s="331">
        <f>-'C6Q'!E31</f>
        <v>509435533.38</v>
      </c>
      <c r="G33" s="367">
        <f>-'C6Q'!F31</f>
        <v>643066461.92999995</v>
      </c>
    </row>
    <row r="34" spans="1:10" ht="12.6" customHeight="1" x14ac:dyDescent="0.25">
      <c r="A34" s="612" t="s">
        <v>1323</v>
      </c>
      <c r="B34" s="90"/>
      <c r="C34" s="366">
        <f>-'C6Q'!B32</f>
        <v>17178565.899999999</v>
      </c>
      <c r="D34" s="366">
        <f>-'C6Q'!C32</f>
        <v>40334720.450000003</v>
      </c>
      <c r="E34" s="415">
        <f>-'C6Q'!D32</f>
        <v>17178565.899999999</v>
      </c>
      <c r="F34" s="331">
        <f>-'C6Q'!E32</f>
        <v>57376413.649999999</v>
      </c>
      <c r="G34" s="367">
        <f>-'C6Q'!F32</f>
        <v>17178565.899999999</v>
      </c>
    </row>
    <row r="35" spans="1:10" ht="12.6" customHeight="1" x14ac:dyDescent="0.25">
      <c r="A35" s="30" t="s">
        <v>1324</v>
      </c>
      <c r="B35" s="90"/>
      <c r="C35" s="366">
        <f>-'C6Q'!B33</f>
        <v>33368401.640000001</v>
      </c>
      <c r="D35" s="366">
        <f>-'C6Q'!C33</f>
        <v>33851780.82</v>
      </c>
      <c r="E35" s="415">
        <f>-'C6Q'!D33</f>
        <v>29292601.640000001</v>
      </c>
      <c r="F35" s="331">
        <f>-'C6Q'!E33</f>
        <v>37250165.439999998</v>
      </c>
      <c r="G35" s="367">
        <f>-'C6Q'!F33</f>
        <v>29292601.640000001</v>
      </c>
    </row>
    <row r="36" spans="1:10" ht="12.75" customHeight="1" x14ac:dyDescent="0.25">
      <c r="A36" s="612" t="s">
        <v>1315</v>
      </c>
      <c r="B36" s="90"/>
      <c r="C36" s="366">
        <f>-'C6Q'!B34</f>
        <v>75778470.659999996</v>
      </c>
      <c r="D36" s="366">
        <f>-'C6Q'!C34</f>
        <v>52993435.590000004</v>
      </c>
      <c r="E36" s="415">
        <f>-'C6Q'!D34</f>
        <v>72207410.370000005</v>
      </c>
      <c r="F36" s="331">
        <f>-'C6Q'!E34</f>
        <v>86766433.590000004</v>
      </c>
      <c r="G36" s="367">
        <f>-'C6Q'!F34</f>
        <v>72207410.370000005</v>
      </c>
    </row>
    <row r="37" spans="1:10" ht="12.75" customHeight="1" x14ac:dyDescent="0.25">
      <c r="A37" s="612" t="s">
        <v>1325</v>
      </c>
      <c r="B37" s="90"/>
      <c r="C37" s="366">
        <f>-'C6Q'!B35</f>
        <v>-187000</v>
      </c>
      <c r="D37" s="366">
        <f>-'C6Q'!C35</f>
        <v>0</v>
      </c>
      <c r="E37" s="415">
        <f>-'C6Q'!D35</f>
        <v>0</v>
      </c>
      <c r="F37" s="331">
        <f>-'C6Q'!E35</f>
        <v>0</v>
      </c>
      <c r="G37" s="367">
        <f>-'C6Q'!F35</f>
        <v>0</v>
      </c>
    </row>
    <row r="38" spans="1:10" ht="12.75" customHeight="1" x14ac:dyDescent="0.25">
      <c r="A38" s="62" t="s">
        <v>419</v>
      </c>
      <c r="B38" s="127"/>
      <c r="C38" s="137">
        <f>SUM(C30:C37)</f>
        <v>951140980.75999987</v>
      </c>
      <c r="D38" s="53">
        <f>SUM(D30:D37)</f>
        <v>1185404711.3199999</v>
      </c>
      <c r="E38" s="150">
        <f>SUM(E30:E37)</f>
        <v>1010695964.42</v>
      </c>
      <c r="F38" s="52">
        <f>SUM(F30:F37)</f>
        <v>934967783.66999996</v>
      </c>
      <c r="G38" s="312">
        <f>SUM(G30:G37)</f>
        <v>1010695964.42</v>
      </c>
    </row>
    <row r="39" spans="1:10" ht="12.75" customHeight="1" x14ac:dyDescent="0.25">
      <c r="A39" s="59" t="s">
        <v>417</v>
      </c>
      <c r="B39" s="90"/>
      <c r="C39" s="74"/>
      <c r="D39" s="36"/>
      <c r="E39" s="148"/>
      <c r="F39" s="34"/>
      <c r="G39" s="35"/>
    </row>
    <row r="40" spans="1:10" ht="12.75" customHeight="1" x14ac:dyDescent="0.25">
      <c r="A40" s="30" t="s">
        <v>1321</v>
      </c>
      <c r="B40" s="90"/>
      <c r="C40" s="366">
        <f>-'C6Q'!B37</f>
        <v>1505738694.1700001</v>
      </c>
      <c r="D40" s="366">
        <f>-'C6Q'!C37</f>
        <v>1615227879.23</v>
      </c>
      <c r="E40" s="415">
        <f>-'C6Q'!D37</f>
        <v>1656786950.22</v>
      </c>
      <c r="F40" s="331">
        <f>-'C6Q'!E37</f>
        <v>1758981477.3399999</v>
      </c>
      <c r="G40" s="367">
        <f>-'C6Q'!F37</f>
        <v>1656786950.22</v>
      </c>
    </row>
    <row r="41" spans="1:10" ht="12.75" customHeight="1" x14ac:dyDescent="0.25">
      <c r="A41" s="30" t="s">
        <v>1324</v>
      </c>
      <c r="B41" s="90"/>
      <c r="C41" s="366">
        <f>-'C6Q'!B38</f>
        <v>0</v>
      </c>
      <c r="D41" s="366">
        <f>-'C6Q'!C38</f>
        <v>0</v>
      </c>
      <c r="E41" s="415">
        <f>-'C6Q'!D38</f>
        <v>0</v>
      </c>
      <c r="F41" s="331">
        <f>-'C6Q'!E38</f>
        <v>0</v>
      </c>
      <c r="G41" s="367">
        <f>'C6Q'!F38</f>
        <v>0</v>
      </c>
    </row>
    <row r="42" spans="1:10" ht="12.75" customHeight="1" x14ac:dyDescent="0.25">
      <c r="A42" s="30" t="s">
        <v>1326</v>
      </c>
      <c r="B42" s="90"/>
      <c r="C42" s="366"/>
      <c r="D42" s="366"/>
      <c r="E42" s="415"/>
      <c r="F42" s="331"/>
      <c r="G42" s="367"/>
    </row>
    <row r="43" spans="1:10" ht="12.75" customHeight="1" x14ac:dyDescent="0.25">
      <c r="A43" s="30" t="s">
        <v>1327</v>
      </c>
      <c r="B43" s="90"/>
      <c r="C43" s="366">
        <f>-'C6Q'!B39</f>
        <v>262267000</v>
      </c>
      <c r="D43" s="366">
        <f>-'C6Q'!C39</f>
        <v>267495500</v>
      </c>
      <c r="E43" s="415">
        <f>-'C6Q'!D39</f>
        <v>272008000</v>
      </c>
      <c r="F43" s="331">
        <f>-'C6Q'!E39</f>
        <v>267936000</v>
      </c>
      <c r="G43" s="367">
        <f>-'C6Q'!F39</f>
        <v>272008000</v>
      </c>
    </row>
    <row r="44" spans="1:10" ht="12.75" customHeight="1" x14ac:dyDescent="0.25">
      <c r="A44" s="62" t="s">
        <v>418</v>
      </c>
      <c r="B44" s="127"/>
      <c r="C44" s="137">
        <f>SUM(C40:C43)</f>
        <v>1768005694.1700001</v>
      </c>
      <c r="D44" s="53">
        <f>SUM(D40:D43)</f>
        <v>1882723379.23</v>
      </c>
      <c r="E44" s="150">
        <f>SUM(E40:E43)</f>
        <v>1928794950.22</v>
      </c>
      <c r="F44" s="52">
        <f>SUM(F40:F43)</f>
        <v>2026917477.3399999</v>
      </c>
      <c r="G44" s="312">
        <f>SUM(G40:G43)</f>
        <v>1928794950.22</v>
      </c>
    </row>
    <row r="45" spans="1:10" ht="12.75" customHeight="1" x14ac:dyDescent="0.25">
      <c r="A45" s="62" t="s">
        <v>1</v>
      </c>
      <c r="B45" s="127"/>
      <c r="C45" s="137">
        <f>C38+C44</f>
        <v>2719146674.9299998</v>
      </c>
      <c r="D45" s="53">
        <f>D38+D44</f>
        <v>3068128090.5500002</v>
      </c>
      <c r="E45" s="52">
        <f>E38+E44</f>
        <v>2939490914.6399999</v>
      </c>
      <c r="F45" s="52">
        <f>F38+F44</f>
        <v>2961885261.0099998</v>
      </c>
      <c r="G45" s="312">
        <f>G38+G44</f>
        <v>2939490914.6399999</v>
      </c>
      <c r="J45" s="33"/>
    </row>
    <row r="46" spans="1:10" ht="12.75" customHeight="1" x14ac:dyDescent="0.25">
      <c r="A46" s="63" t="s">
        <v>723</v>
      </c>
      <c r="B46" s="72">
        <v>2</v>
      </c>
      <c r="C46" s="138">
        <f>C27-C45</f>
        <v>6283909641.9799995</v>
      </c>
      <c r="D46" s="401">
        <f>D27-D45</f>
        <v>6954907844.7200003</v>
      </c>
      <c r="E46" s="55">
        <f>E27-E45</f>
        <v>6224896066.0600014</v>
      </c>
      <c r="F46" s="55">
        <f>F27-F45</f>
        <v>6403300642.5799999</v>
      </c>
      <c r="G46" s="671">
        <f>G27-G45</f>
        <v>6224896066.0600014</v>
      </c>
      <c r="J46" s="33"/>
    </row>
    <row r="47" spans="1:10" ht="12.75" customHeight="1" x14ac:dyDescent="0.25">
      <c r="A47" s="29" t="s">
        <v>582</v>
      </c>
      <c r="B47" s="90"/>
      <c r="C47" s="74"/>
      <c r="D47" s="36"/>
      <c r="E47" s="34"/>
      <c r="F47" s="34"/>
      <c r="G47" s="35"/>
    </row>
    <row r="48" spans="1:10" ht="12.75" customHeight="1" x14ac:dyDescent="0.25">
      <c r="A48" s="30" t="s">
        <v>1328</v>
      </c>
      <c r="B48" s="90"/>
      <c r="C48" s="379">
        <f>-'C6Q'!B41</f>
        <v>6263798811.1000004</v>
      </c>
      <c r="D48" s="366">
        <f>(-'C6Q'!C41)-'C6Q'!C44</f>
        <v>6894907844.3299999</v>
      </c>
      <c r="E48" s="415">
        <f>(-'C6Q'!D41)-'C6Q'!D44</f>
        <v>6164896066.2200003</v>
      </c>
      <c r="F48" s="331">
        <f>(-'C6Q'!E41)-'C6Q'!E44</f>
        <v>6383189810.9200001</v>
      </c>
      <c r="G48" s="332">
        <f>(-'C6Q'!F41)-'C6Q'!F44</f>
        <v>6164896066.2200003</v>
      </c>
      <c r="J48" s="33"/>
    </row>
    <row r="49" spans="1:7" ht="12.75" customHeight="1" x14ac:dyDescent="0.25">
      <c r="A49" s="30" t="s">
        <v>1329</v>
      </c>
      <c r="B49" s="90"/>
      <c r="C49" s="379">
        <f>-'C6Q'!B42</f>
        <v>20110831.66</v>
      </c>
      <c r="D49" s="366">
        <f>-'C6Q'!C42</f>
        <v>60000000</v>
      </c>
      <c r="E49" s="415">
        <f>-'C6Q'!D42</f>
        <v>60000000</v>
      </c>
      <c r="F49" s="331">
        <f>-'C6Q'!E42</f>
        <v>20110831.66</v>
      </c>
      <c r="G49" s="332">
        <f>-'C6Q'!F42</f>
        <v>60000000</v>
      </c>
    </row>
    <row r="50" spans="1:7" ht="12.75" customHeight="1" x14ac:dyDescent="0.25">
      <c r="A50" s="30" t="s">
        <v>666</v>
      </c>
      <c r="B50" s="90"/>
      <c r="C50" s="391">
        <f>'C6Q'!B43</f>
        <v>0</v>
      </c>
      <c r="D50" s="391">
        <f>'C6Q'!C43</f>
        <v>0</v>
      </c>
      <c r="E50" s="702">
        <f>'C6Q'!D43</f>
        <v>0</v>
      </c>
      <c r="F50" s="331">
        <f>'C6Q'!E43</f>
        <v>0</v>
      </c>
      <c r="G50" s="367">
        <f>-'C6Q'!F43</f>
        <v>0</v>
      </c>
    </row>
    <row r="51" spans="1:7" ht="12.75" customHeight="1" x14ac:dyDescent="0.25">
      <c r="A51" s="40" t="s">
        <v>575</v>
      </c>
      <c r="B51" s="130">
        <v>2</v>
      </c>
      <c r="C51" s="71">
        <f>SUM(C48:C50)</f>
        <v>6283909642.7600002</v>
      </c>
      <c r="D51" s="155">
        <f>SUM(D48:D50)</f>
        <v>6954907844.3299999</v>
      </c>
      <c r="E51" s="41">
        <f>SUM(E48:E50)</f>
        <v>6224896066.2200003</v>
      </c>
      <c r="F51" s="41">
        <f>SUM(F48:F50)</f>
        <v>6403300642.5799999</v>
      </c>
      <c r="G51" s="491">
        <f>SUM(G48:G50)</f>
        <v>6224896066.2200003</v>
      </c>
    </row>
    <row r="52" spans="1:7" ht="12.75" customHeight="1" x14ac:dyDescent="0.25">
      <c r="A52" s="313" t="str">
        <f>head27a</f>
        <v>References</v>
      </c>
      <c r="C52" s="37"/>
      <c r="D52" s="37"/>
      <c r="E52" s="37"/>
      <c r="F52" s="37"/>
      <c r="G52" s="37"/>
    </row>
    <row r="53" spans="1:7" ht="13.5" customHeight="1" x14ac:dyDescent="0.25">
      <c r="A53" s="850" t="s">
        <v>127</v>
      </c>
      <c r="B53" s="850"/>
      <c r="C53" s="850"/>
      <c r="D53" s="850"/>
      <c r="E53" s="850"/>
      <c r="F53" s="850"/>
      <c r="G53" s="850"/>
    </row>
    <row r="54" spans="1:7" ht="13.5" customHeight="1" x14ac:dyDescent="0.25">
      <c r="A54" s="73" t="s">
        <v>829</v>
      </c>
      <c r="B54" s="44"/>
      <c r="C54" s="314"/>
      <c r="D54" s="314"/>
      <c r="E54" s="314"/>
      <c r="F54" s="314"/>
      <c r="G54" s="314"/>
    </row>
    <row r="55" spans="1:7" ht="11.25" customHeight="1" x14ac:dyDescent="0.25">
      <c r="A55" s="73"/>
      <c r="B55" s="44"/>
      <c r="C55" s="314"/>
      <c r="D55" s="314"/>
      <c r="E55" s="314"/>
      <c r="F55" s="314"/>
      <c r="G55" s="314"/>
    </row>
    <row r="56" spans="1:7" ht="11.25" customHeight="1" x14ac:dyDescent="0.25">
      <c r="A56" s="73"/>
      <c r="B56" s="44"/>
      <c r="C56" s="314"/>
      <c r="D56" s="314"/>
      <c r="E56" s="314"/>
      <c r="F56" s="314"/>
      <c r="G56" s="314"/>
    </row>
    <row r="57" spans="1:7" ht="11.25" customHeight="1" x14ac:dyDescent="0.25">
      <c r="A57" s="45" t="s">
        <v>668</v>
      </c>
      <c r="B57" s="44"/>
      <c r="C57" s="418">
        <f>C46-C51</f>
        <v>-0.78000068664550781</v>
      </c>
      <c r="D57" s="418">
        <f>D46-D51</f>
        <v>0.39000034332275391</v>
      </c>
      <c r="E57" s="418">
        <f>E46-E51</f>
        <v>-0.15999889373779297</v>
      </c>
      <c r="F57" s="418">
        <f>F46-F51</f>
        <v>0</v>
      </c>
      <c r="G57" s="418">
        <f>G46-G51</f>
        <v>-0.15999889373779297</v>
      </c>
    </row>
    <row r="58" spans="1:7" ht="11.25" customHeight="1" x14ac:dyDescent="0.25"/>
    <row r="59" spans="1:7" ht="11.25" customHeight="1" x14ac:dyDescent="0.25">
      <c r="B59" s="21"/>
    </row>
    <row r="60" spans="1:7" ht="11.25" customHeight="1" x14ac:dyDescent="0.25">
      <c r="B60" s="21"/>
    </row>
    <row r="61" spans="1:7" ht="11.25" customHeight="1" x14ac:dyDescent="0.25">
      <c r="B61" s="21"/>
    </row>
    <row r="62" spans="1:7" ht="12.75" customHeight="1" x14ac:dyDescent="0.25">
      <c r="B62" s="21"/>
    </row>
    <row r="63" spans="1:7" ht="12.75" customHeight="1" x14ac:dyDescent="0.25">
      <c r="B63" s="21"/>
    </row>
    <row r="64" spans="1:7" ht="13.5" customHeight="1" x14ac:dyDescent="0.25">
      <c r="B64" s="21"/>
    </row>
    <row r="65" ht="13.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4">
    <mergeCell ref="A2:A3"/>
    <mergeCell ref="B2:B3"/>
    <mergeCell ref="A53:G53"/>
    <mergeCell ref="A1:G1"/>
  </mergeCells>
  <phoneticPr fontId="2" type="noConversion"/>
  <printOptions horizontalCentered="1"/>
  <pageMargins left="0.35433070866141736" right="0.15748031496062992" top="0.78740157480314965" bottom="0.59055118110236227" header="0.51181102362204722" footer="0.39370078740157483"/>
  <pageSetup paperSize="8" scale="135" orientation="portrait" r:id="rId1"/>
  <headerFooter alignWithMargins="0">
    <oddFooter>&amp;L&amp;F&amp;C&amp;A&amp;R&amp;D</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95"/>
  <sheetViews>
    <sheetView workbookViewId="0">
      <selection activeCell="D6" sqref="D6:D44"/>
    </sheetView>
  </sheetViews>
  <sheetFormatPr defaultRowHeight="12.75" x14ac:dyDescent="0.2"/>
  <cols>
    <col min="1" max="1" width="55.5703125" customWidth="1"/>
    <col min="2" max="2" width="16" customWidth="1"/>
    <col min="3" max="3" width="16.28515625" customWidth="1"/>
    <col min="4" max="5" width="16" customWidth="1"/>
    <col min="6" max="6" width="21.140625" customWidth="1"/>
    <col min="7" max="9" width="16" bestFit="1" customWidth="1"/>
  </cols>
  <sheetData>
    <row r="1" spans="1:9" x14ac:dyDescent="0.2">
      <c r="A1" s="285" t="s">
        <v>1774</v>
      </c>
    </row>
    <row r="4" spans="1:9" x14ac:dyDescent="0.2">
      <c r="A4" s="659" t="s">
        <v>973</v>
      </c>
      <c r="B4" s="660" t="s">
        <v>471</v>
      </c>
      <c r="C4" s="660" t="s">
        <v>558</v>
      </c>
      <c r="D4" s="660" t="s">
        <v>1782</v>
      </c>
      <c r="E4" s="660" t="s">
        <v>1783</v>
      </c>
      <c r="F4" s="660" t="s">
        <v>774</v>
      </c>
      <c r="G4" s="630"/>
      <c r="H4" s="630"/>
      <c r="I4" s="630"/>
    </row>
    <row r="5" spans="1:9" x14ac:dyDescent="0.2">
      <c r="A5" s="659" t="s">
        <v>1584</v>
      </c>
      <c r="B5" s="661" t="s">
        <v>1637</v>
      </c>
      <c r="C5" s="661" t="s">
        <v>973</v>
      </c>
      <c r="D5" s="661" t="s">
        <v>973</v>
      </c>
      <c r="E5" s="661" t="s">
        <v>973</v>
      </c>
      <c r="F5" s="661" t="s">
        <v>973</v>
      </c>
      <c r="G5" s="664"/>
      <c r="H5" s="664"/>
      <c r="I5" s="664"/>
    </row>
    <row r="6" spans="1:9" x14ac:dyDescent="0.2">
      <c r="A6" s="639" t="s">
        <v>62</v>
      </c>
      <c r="B6" s="650">
        <v>-0.78</v>
      </c>
      <c r="C6" s="650">
        <v>-0.82</v>
      </c>
      <c r="D6" s="650">
        <v>-1.07</v>
      </c>
      <c r="E6" s="650">
        <v>7293597.5999999996</v>
      </c>
      <c r="F6" s="807">
        <v>-1.07</v>
      </c>
      <c r="G6" s="663"/>
      <c r="H6" s="663"/>
      <c r="I6" s="663"/>
    </row>
    <row r="7" spans="1:9" x14ac:dyDescent="0.2">
      <c r="A7" s="640" t="s">
        <v>498</v>
      </c>
      <c r="B7" s="650">
        <v>9003056316.9099998</v>
      </c>
      <c r="C7" s="650">
        <v>10023035935.27</v>
      </c>
      <c r="D7" s="650">
        <v>9164386980.7000008</v>
      </c>
      <c r="E7" s="650">
        <v>9365185903.5900002</v>
      </c>
      <c r="F7" s="807">
        <v>9164386980.7000008</v>
      </c>
      <c r="G7" s="663"/>
      <c r="H7" s="663"/>
      <c r="I7" s="663"/>
    </row>
    <row r="8" spans="1:9" x14ac:dyDescent="0.2">
      <c r="A8" s="651" t="s">
        <v>499</v>
      </c>
      <c r="B8" s="650">
        <v>1170448576.3900001</v>
      </c>
      <c r="C8" s="650">
        <v>1748555946.8299999</v>
      </c>
      <c r="D8" s="650">
        <v>1056733146.39</v>
      </c>
      <c r="E8" s="650">
        <v>1418744970.8399999</v>
      </c>
      <c r="F8" s="807">
        <v>1056733146.39</v>
      </c>
      <c r="G8" s="663"/>
      <c r="H8" s="663"/>
      <c r="I8" s="663"/>
    </row>
    <row r="9" spans="1:9" x14ac:dyDescent="0.2">
      <c r="A9" s="652" t="s">
        <v>1311</v>
      </c>
      <c r="B9" s="650">
        <v>272466860.55000001</v>
      </c>
      <c r="C9" s="650">
        <v>505852550.83999997</v>
      </c>
      <c r="D9" s="650">
        <v>147423883.05000001</v>
      </c>
      <c r="E9" s="650">
        <v>554189295.71000004</v>
      </c>
      <c r="F9" s="807">
        <v>147423883.05000001</v>
      </c>
      <c r="G9" s="663"/>
      <c r="H9" s="663"/>
      <c r="I9" s="663"/>
    </row>
    <row r="10" spans="1:9" x14ac:dyDescent="0.2">
      <c r="A10" s="652" t="s">
        <v>1312</v>
      </c>
      <c r="B10" s="650">
        <v>584513854.63</v>
      </c>
      <c r="C10" s="650">
        <v>872916307.63999999</v>
      </c>
      <c r="D10" s="650">
        <v>559125532.75999999</v>
      </c>
      <c r="E10" s="650">
        <v>483217032.31999999</v>
      </c>
      <c r="F10" s="807">
        <v>559125532.75999999</v>
      </c>
      <c r="G10" s="663"/>
      <c r="H10" s="663"/>
      <c r="I10" s="663"/>
    </row>
    <row r="11" spans="1:9" x14ac:dyDescent="0.2">
      <c r="A11" s="652" t="s">
        <v>1313</v>
      </c>
      <c r="B11" s="650">
        <v>160739754.86000001</v>
      </c>
      <c r="C11" s="650">
        <v>179243644.19999999</v>
      </c>
      <c r="D11" s="650">
        <v>161956469.88</v>
      </c>
      <c r="E11" s="650">
        <v>172451150.49000001</v>
      </c>
      <c r="F11" s="807">
        <v>161956469.88</v>
      </c>
      <c r="G11" s="663"/>
      <c r="H11" s="663"/>
      <c r="I11" s="663"/>
    </row>
    <row r="12" spans="1:9" x14ac:dyDescent="0.2">
      <c r="A12" s="652" t="s">
        <v>1784</v>
      </c>
      <c r="B12" s="650"/>
      <c r="C12" s="650"/>
      <c r="D12" s="650"/>
      <c r="E12" s="650"/>
      <c r="F12" s="650"/>
      <c r="G12" s="663"/>
      <c r="H12" s="663"/>
      <c r="I12" s="663"/>
    </row>
    <row r="13" spans="1:9" x14ac:dyDescent="0.2">
      <c r="A13" s="652" t="s">
        <v>539</v>
      </c>
      <c r="B13" s="650">
        <v>104118079.19</v>
      </c>
      <c r="C13" s="650">
        <v>134240863.06</v>
      </c>
      <c r="D13" s="650">
        <v>104103479.19</v>
      </c>
      <c r="E13" s="650">
        <v>140347267.06999999</v>
      </c>
      <c r="F13" s="807">
        <v>104103479.19</v>
      </c>
      <c r="G13" s="663"/>
      <c r="H13" s="663"/>
      <c r="I13" s="663"/>
    </row>
    <row r="14" spans="1:9" x14ac:dyDescent="0.2">
      <c r="A14" s="652" t="s">
        <v>1315</v>
      </c>
      <c r="B14" s="650">
        <v>47245705.850000001</v>
      </c>
      <c r="C14" s="650">
        <v>46546808.850000001</v>
      </c>
      <c r="D14" s="650">
        <v>82759462</v>
      </c>
      <c r="E14" s="650">
        <v>58793859.719999999</v>
      </c>
      <c r="F14" s="807">
        <v>82759462</v>
      </c>
      <c r="G14" s="663"/>
      <c r="H14" s="663"/>
      <c r="I14" s="663"/>
    </row>
    <row r="15" spans="1:9" x14ac:dyDescent="0.2">
      <c r="A15" s="652" t="s">
        <v>1316</v>
      </c>
      <c r="B15" s="650">
        <v>1364321.31</v>
      </c>
      <c r="C15" s="650">
        <v>9755772.2400000002</v>
      </c>
      <c r="D15" s="650">
        <v>1364319.51</v>
      </c>
      <c r="E15" s="650">
        <v>9746365.5299999993</v>
      </c>
      <c r="F15" s="807">
        <v>1364319.51</v>
      </c>
      <c r="G15" s="663"/>
      <c r="H15" s="663"/>
      <c r="I15" s="663"/>
    </row>
    <row r="16" spans="1:9" x14ac:dyDescent="0.2">
      <c r="A16" s="651" t="s">
        <v>414</v>
      </c>
      <c r="B16" s="650">
        <v>7832607740.5200005</v>
      </c>
      <c r="C16" s="650">
        <v>8274479988.4399996</v>
      </c>
      <c r="D16" s="650">
        <v>8107653834.3100004</v>
      </c>
      <c r="E16" s="650">
        <v>7946440932.75</v>
      </c>
      <c r="F16" s="807">
        <v>8107653834.3100004</v>
      </c>
      <c r="G16" s="663"/>
      <c r="H16" s="663"/>
      <c r="I16" s="663"/>
    </row>
    <row r="17" spans="1:9" x14ac:dyDescent="0.2">
      <c r="A17" s="652" t="s">
        <v>500</v>
      </c>
      <c r="B17" s="650"/>
      <c r="C17" s="650"/>
      <c r="D17" s="650"/>
      <c r="E17" s="650"/>
      <c r="F17" s="650"/>
      <c r="G17" s="663"/>
      <c r="H17" s="663"/>
      <c r="I17" s="663"/>
    </row>
    <row r="18" spans="1:9" x14ac:dyDescent="0.2">
      <c r="A18" s="652" t="s">
        <v>538</v>
      </c>
      <c r="B18" s="650">
        <v>77085125.519999996</v>
      </c>
      <c r="C18" s="650">
        <v>133852494.2</v>
      </c>
      <c r="D18" s="650">
        <v>93800785.019999996</v>
      </c>
      <c r="E18" s="650">
        <v>90913988.209999993</v>
      </c>
      <c r="F18" s="807">
        <v>93800785.019999996</v>
      </c>
      <c r="G18" s="663"/>
      <c r="H18" s="663"/>
      <c r="I18" s="663"/>
    </row>
    <row r="19" spans="1:9" x14ac:dyDescent="0.2">
      <c r="A19" s="652" t="s">
        <v>537</v>
      </c>
      <c r="B19" s="650">
        <v>7601425562.6099997</v>
      </c>
      <c r="C19" s="650">
        <v>7977934587.6199999</v>
      </c>
      <c r="D19" s="650">
        <v>7866593894.6000004</v>
      </c>
      <c r="E19" s="650">
        <v>7725987024.6400003</v>
      </c>
      <c r="F19" s="807">
        <v>7866593894.6000004</v>
      </c>
      <c r="G19" s="663"/>
      <c r="H19" s="663"/>
      <c r="I19" s="663"/>
    </row>
    <row r="20" spans="1:9" x14ac:dyDescent="0.2">
      <c r="A20" s="652" t="s">
        <v>1317</v>
      </c>
      <c r="B20" s="650"/>
      <c r="C20" s="650"/>
      <c r="D20" s="650"/>
      <c r="E20" s="650"/>
      <c r="F20" s="650"/>
      <c r="G20" s="663"/>
      <c r="H20" s="663"/>
      <c r="I20" s="663"/>
    </row>
    <row r="21" spans="1:9" x14ac:dyDescent="0.2">
      <c r="A21" s="652" t="s">
        <v>618</v>
      </c>
      <c r="B21" s="650">
        <v>2464610.5299999998</v>
      </c>
      <c r="C21" s="650">
        <v>2464610.5299999998</v>
      </c>
      <c r="D21" s="650">
        <v>2464610.5299999998</v>
      </c>
      <c r="E21" s="650">
        <v>2464610.5299999998</v>
      </c>
      <c r="F21" s="807">
        <v>2464610.5299999998</v>
      </c>
      <c r="G21" s="663"/>
      <c r="H21" s="663"/>
      <c r="I21" s="663"/>
    </row>
    <row r="22" spans="1:9" x14ac:dyDescent="0.2">
      <c r="A22" s="652" t="s">
        <v>1319</v>
      </c>
      <c r="B22" s="650">
        <v>151632441.86000001</v>
      </c>
      <c r="C22" s="650">
        <v>160228296.09</v>
      </c>
      <c r="D22" s="650">
        <v>144794544.16</v>
      </c>
      <c r="E22" s="650">
        <v>127075309.37</v>
      </c>
      <c r="F22" s="807">
        <v>144794544.16</v>
      </c>
      <c r="G22" s="663"/>
      <c r="H22" s="663"/>
      <c r="I22" s="663"/>
    </row>
    <row r="23" spans="1:9" x14ac:dyDescent="0.2">
      <c r="A23" s="652" t="s">
        <v>1312</v>
      </c>
      <c r="B23" s="650"/>
      <c r="C23" s="650"/>
      <c r="D23" s="650"/>
      <c r="E23" s="650"/>
      <c r="F23" s="650"/>
      <c r="G23" s="663"/>
      <c r="H23" s="663"/>
      <c r="I23" s="663"/>
    </row>
    <row r="24" spans="1:9" x14ac:dyDescent="0.2">
      <c r="A24" s="652" t="s">
        <v>1785</v>
      </c>
      <c r="B24" s="650"/>
      <c r="C24" s="650"/>
      <c r="D24" s="650"/>
      <c r="E24" s="650"/>
      <c r="F24" s="650"/>
      <c r="G24" s="663"/>
      <c r="H24" s="663"/>
      <c r="I24" s="663"/>
    </row>
    <row r="25" spans="1:9" x14ac:dyDescent="0.2">
      <c r="A25" s="652" t="s">
        <v>738</v>
      </c>
      <c r="B25" s="650"/>
      <c r="C25" s="650"/>
      <c r="D25" s="650"/>
      <c r="E25" s="650"/>
      <c r="F25" s="650"/>
      <c r="G25" s="663"/>
      <c r="H25" s="663"/>
      <c r="I25" s="663"/>
    </row>
    <row r="26" spans="1:9" x14ac:dyDescent="0.2">
      <c r="A26" s="640" t="s">
        <v>415</v>
      </c>
      <c r="B26" s="650">
        <v>-2719146674.9299998</v>
      </c>
      <c r="C26" s="650">
        <v>-3068128090.5500002</v>
      </c>
      <c r="D26" s="650">
        <v>-2939490914.6399999</v>
      </c>
      <c r="E26" s="650">
        <v>-2961885261.0100002</v>
      </c>
      <c r="F26" s="807">
        <v>-2939490914.6399999</v>
      </c>
      <c r="G26" s="663"/>
      <c r="H26" s="663"/>
      <c r="I26" s="663"/>
    </row>
    <row r="27" spans="1:9" x14ac:dyDescent="0.2">
      <c r="A27" s="651" t="s">
        <v>501</v>
      </c>
      <c r="B27" s="650">
        <v>-951140980.75999999</v>
      </c>
      <c r="C27" s="650">
        <v>-1185404711.3199999</v>
      </c>
      <c r="D27" s="650">
        <v>-1010695964.42</v>
      </c>
      <c r="E27" s="650">
        <v>-934967783.66999996</v>
      </c>
      <c r="F27" s="807">
        <v>-1010695964.42</v>
      </c>
      <c r="G27" s="663"/>
      <c r="H27" s="663"/>
      <c r="I27" s="663"/>
    </row>
    <row r="28" spans="1:9" x14ac:dyDescent="0.2">
      <c r="A28" s="652" t="s">
        <v>692</v>
      </c>
      <c r="B28" s="650"/>
      <c r="C28" s="650"/>
      <c r="D28" s="650"/>
      <c r="E28" s="650"/>
      <c r="F28" s="650"/>
      <c r="G28" s="663"/>
      <c r="H28" s="663"/>
      <c r="I28" s="663"/>
    </row>
    <row r="29" spans="1:9" x14ac:dyDescent="0.2">
      <c r="A29" s="652" t="s">
        <v>1321</v>
      </c>
      <c r="B29" s="650">
        <v>-156969603.43000001</v>
      </c>
      <c r="C29" s="650">
        <v>-247333410.80000001</v>
      </c>
      <c r="D29" s="650">
        <v>-193672847.38</v>
      </c>
      <c r="E29" s="650">
        <v>-187351349.84999999</v>
      </c>
      <c r="F29" s="807">
        <v>-193672847.38</v>
      </c>
      <c r="G29" s="663"/>
      <c r="H29" s="663"/>
      <c r="I29" s="663"/>
    </row>
    <row r="30" spans="1:9" x14ac:dyDescent="0.2">
      <c r="A30" s="652" t="s">
        <v>536</v>
      </c>
      <c r="B30" s="650">
        <v>-55278077.200000003</v>
      </c>
      <c r="C30" s="650">
        <v>-57000281.869999997</v>
      </c>
      <c r="D30" s="650">
        <v>-55278077.200000003</v>
      </c>
      <c r="E30" s="650">
        <v>-56787887.759999998</v>
      </c>
      <c r="F30" s="807">
        <v>-55278077.200000003</v>
      </c>
      <c r="G30" s="663"/>
      <c r="H30" s="663"/>
      <c r="I30" s="663"/>
    </row>
    <row r="31" spans="1:9" x14ac:dyDescent="0.2">
      <c r="A31" s="652" t="s">
        <v>1322</v>
      </c>
      <c r="B31" s="650">
        <v>-612754861.92999995</v>
      </c>
      <c r="C31" s="650">
        <v>-753891081.78999996</v>
      </c>
      <c r="D31" s="650">
        <v>-643066461.92999995</v>
      </c>
      <c r="E31" s="650">
        <v>-509435533.38</v>
      </c>
      <c r="F31" s="807">
        <v>-643066461.92999995</v>
      </c>
      <c r="G31" s="663"/>
      <c r="H31" s="663"/>
      <c r="I31" s="663"/>
    </row>
    <row r="32" spans="1:9" x14ac:dyDescent="0.2">
      <c r="A32" s="652" t="s">
        <v>1323</v>
      </c>
      <c r="B32" s="650">
        <v>-17178565.899999999</v>
      </c>
      <c r="C32" s="650">
        <v>-40334720.450000003</v>
      </c>
      <c r="D32" s="650">
        <v>-17178565.899999999</v>
      </c>
      <c r="E32" s="650">
        <v>-57376413.649999999</v>
      </c>
      <c r="F32" s="807">
        <v>-17178565.899999999</v>
      </c>
      <c r="G32" s="663"/>
      <c r="H32" s="663"/>
      <c r="I32" s="663"/>
    </row>
    <row r="33" spans="1:9" x14ac:dyDescent="0.2">
      <c r="A33" s="652" t="s">
        <v>1786</v>
      </c>
      <c r="B33" s="650">
        <v>-33368401.640000001</v>
      </c>
      <c r="C33" s="650">
        <v>-33851780.82</v>
      </c>
      <c r="D33" s="650">
        <v>-29292601.640000001</v>
      </c>
      <c r="E33" s="650">
        <v>-37250165.439999998</v>
      </c>
      <c r="F33" s="807">
        <v>-29292601.640000001</v>
      </c>
      <c r="G33" s="663"/>
      <c r="H33" s="663"/>
      <c r="I33" s="663"/>
    </row>
    <row r="34" spans="1:9" x14ac:dyDescent="0.2">
      <c r="A34" s="652" t="s">
        <v>1787</v>
      </c>
      <c r="B34" s="650">
        <v>-75778470.659999996</v>
      </c>
      <c r="C34" s="650">
        <v>-52993435.590000004</v>
      </c>
      <c r="D34" s="650">
        <v>-72207410.370000005</v>
      </c>
      <c r="E34" s="650">
        <v>-86766433.590000004</v>
      </c>
      <c r="F34" s="807">
        <v>-72207410.370000005</v>
      </c>
      <c r="G34" s="663"/>
      <c r="H34" s="663"/>
      <c r="I34" s="663"/>
    </row>
    <row r="35" spans="1:9" x14ac:dyDescent="0.2">
      <c r="A35" s="652" t="s">
        <v>1325</v>
      </c>
      <c r="B35" s="650">
        <v>187000</v>
      </c>
      <c r="C35" s="650"/>
      <c r="D35" s="650"/>
      <c r="E35" s="650"/>
      <c r="F35" s="650"/>
      <c r="G35" s="663"/>
      <c r="H35" s="663"/>
      <c r="I35" s="663"/>
    </row>
    <row r="36" spans="1:9" x14ac:dyDescent="0.2">
      <c r="A36" s="651" t="s">
        <v>417</v>
      </c>
      <c r="B36" s="650">
        <v>-1768005694.1700001</v>
      </c>
      <c r="C36" s="650">
        <v>-1882723379.23</v>
      </c>
      <c r="D36" s="650">
        <v>-1928794950.22</v>
      </c>
      <c r="E36" s="650">
        <v>-2026917477.3399999</v>
      </c>
      <c r="F36" s="807">
        <v>-1928794950.22</v>
      </c>
      <c r="G36" s="663"/>
      <c r="H36" s="663"/>
      <c r="I36" s="663"/>
    </row>
    <row r="37" spans="1:9" x14ac:dyDescent="0.2">
      <c r="A37" s="652" t="s">
        <v>1788</v>
      </c>
      <c r="B37" s="650">
        <v>-1505738694.1700001</v>
      </c>
      <c r="C37" s="650">
        <v>-1615227879.23</v>
      </c>
      <c r="D37" s="650">
        <v>-1656786950.22</v>
      </c>
      <c r="E37" s="650">
        <v>-1758981477.3399999</v>
      </c>
      <c r="F37" s="807">
        <v>-1656786950.22</v>
      </c>
      <c r="G37" s="663"/>
      <c r="H37" s="663"/>
      <c r="I37" s="663"/>
    </row>
    <row r="38" spans="1:9" x14ac:dyDescent="0.2">
      <c r="A38" s="652" t="s">
        <v>1789</v>
      </c>
      <c r="B38" s="650"/>
      <c r="C38" s="650"/>
      <c r="D38" s="650"/>
      <c r="E38" s="650"/>
      <c r="F38" s="650"/>
      <c r="G38" s="663"/>
      <c r="H38" s="663"/>
      <c r="I38" s="663"/>
    </row>
    <row r="39" spans="1:9" x14ac:dyDescent="0.2">
      <c r="A39" s="652" t="s">
        <v>1327</v>
      </c>
      <c r="B39" s="650">
        <v>-262267000</v>
      </c>
      <c r="C39" s="650">
        <v>-267495500</v>
      </c>
      <c r="D39" s="650">
        <v>-272008000</v>
      </c>
      <c r="E39" s="650">
        <v>-267936000</v>
      </c>
      <c r="F39" s="807">
        <v>-272008000</v>
      </c>
      <c r="G39" s="663"/>
      <c r="H39" s="663"/>
      <c r="I39" s="663"/>
    </row>
    <row r="40" spans="1:9" x14ac:dyDescent="0.2">
      <c r="A40" s="640" t="s">
        <v>582</v>
      </c>
      <c r="B40" s="650">
        <v>-6283909642.7600002</v>
      </c>
      <c r="C40" s="650">
        <v>-6954907845.54</v>
      </c>
      <c r="D40" s="650">
        <v>-6224896067.1300001</v>
      </c>
      <c r="E40" s="650">
        <v>-6396007044.9799995</v>
      </c>
      <c r="F40" s="807">
        <v>-6224896067.1300001</v>
      </c>
      <c r="G40" s="663"/>
      <c r="H40" s="663"/>
      <c r="I40" s="663"/>
    </row>
    <row r="41" spans="1:9" x14ac:dyDescent="0.2">
      <c r="A41" s="653" t="s">
        <v>1790</v>
      </c>
      <c r="B41" s="650">
        <v>-6263798811.1000004</v>
      </c>
      <c r="C41" s="650">
        <v>-6894907845.54</v>
      </c>
      <c r="D41" s="650">
        <v>-6164896067.1300001</v>
      </c>
      <c r="E41" s="650">
        <v>-6375896213.3199997</v>
      </c>
      <c r="F41" s="807">
        <v>-6164896067.1300001</v>
      </c>
      <c r="G41" s="663"/>
      <c r="H41" s="663"/>
      <c r="I41" s="663"/>
    </row>
    <row r="42" spans="1:9" x14ac:dyDescent="0.2">
      <c r="A42" s="655" t="s">
        <v>1329</v>
      </c>
      <c r="B42" s="650">
        <v>-20110831.66</v>
      </c>
      <c r="C42" s="650">
        <v>-60000000</v>
      </c>
      <c r="D42" s="650">
        <v>-60000000</v>
      </c>
      <c r="E42" s="650">
        <v>-20110831.66</v>
      </c>
      <c r="F42" s="807">
        <v>-60000000</v>
      </c>
      <c r="G42" s="663"/>
      <c r="H42" s="663"/>
      <c r="I42" s="663"/>
    </row>
    <row r="43" spans="1:9" x14ac:dyDescent="0.2">
      <c r="A43" s="655" t="s">
        <v>666</v>
      </c>
      <c r="B43" s="650"/>
      <c r="C43" s="650"/>
      <c r="D43" s="650"/>
      <c r="E43" s="650"/>
      <c r="F43" s="650"/>
      <c r="G43" s="663"/>
      <c r="H43" s="663"/>
      <c r="I43" s="663"/>
    </row>
    <row r="44" spans="1:9" x14ac:dyDescent="0.2">
      <c r="A44" s="654" t="s">
        <v>1636</v>
      </c>
      <c r="B44" s="650">
        <v>0.78</v>
      </c>
      <c r="C44" s="650">
        <v>1.21</v>
      </c>
      <c r="D44" s="650">
        <v>0.91</v>
      </c>
      <c r="E44" s="650">
        <v>-7293597.5999999996</v>
      </c>
      <c r="F44" s="807">
        <v>0.91</v>
      </c>
      <c r="G44" s="663"/>
      <c r="H44" s="663"/>
      <c r="I44" s="663"/>
    </row>
    <row r="45" spans="1:9" x14ac:dyDescent="0.2">
      <c r="A45" s="805"/>
      <c r="B45" s="650"/>
      <c r="C45" s="650"/>
      <c r="D45" s="650"/>
      <c r="E45" s="650"/>
      <c r="F45" s="650"/>
    </row>
    <row r="46" spans="1:9" x14ac:dyDescent="0.2">
      <c r="A46" s="805"/>
      <c r="B46" s="650"/>
      <c r="C46" s="650"/>
      <c r="D46" s="650"/>
      <c r="E46" s="650"/>
      <c r="F46" s="650"/>
    </row>
    <row r="47" spans="1:9" x14ac:dyDescent="0.2">
      <c r="A47" s="805"/>
      <c r="B47" s="650"/>
      <c r="C47" s="650"/>
      <c r="D47" s="650"/>
      <c r="E47" s="650"/>
      <c r="F47" s="650"/>
    </row>
    <row r="48" spans="1:9" x14ac:dyDescent="0.2">
      <c r="A48" s="626"/>
      <c r="B48" s="650"/>
      <c r="C48" s="650"/>
      <c r="D48" s="650"/>
      <c r="E48" s="650"/>
      <c r="F48" s="650"/>
    </row>
    <row r="49" spans="1:6" x14ac:dyDescent="0.2">
      <c r="A49" s="805"/>
      <c r="B49" s="650"/>
      <c r="C49" s="650"/>
      <c r="D49" s="650"/>
      <c r="E49" s="650"/>
      <c r="F49" s="650"/>
    </row>
    <row r="50" spans="1:6" x14ac:dyDescent="0.2">
      <c r="A50" s="805"/>
      <c r="B50" s="650"/>
      <c r="C50" s="650"/>
      <c r="D50" s="650"/>
      <c r="E50" s="650"/>
      <c r="F50" s="650"/>
    </row>
    <row r="51" spans="1:6" x14ac:dyDescent="0.2">
      <c r="A51" s="805"/>
      <c r="B51" s="650"/>
      <c r="C51" s="650"/>
      <c r="D51" s="650"/>
      <c r="E51" s="650"/>
      <c r="F51" s="650"/>
    </row>
    <row r="52" spans="1:6" x14ac:dyDescent="0.2">
      <c r="A52" s="805"/>
      <c r="B52" s="650"/>
      <c r="C52" s="650"/>
      <c r="D52" s="650"/>
      <c r="E52" s="650"/>
      <c r="F52" s="650"/>
    </row>
    <row r="53" spans="1:6" x14ac:dyDescent="0.2">
      <c r="A53" s="805"/>
      <c r="B53" s="650"/>
      <c r="C53" s="650"/>
      <c r="D53" s="650"/>
      <c r="E53" s="650"/>
      <c r="F53" s="650"/>
    </row>
    <row r="54" spans="1:6" x14ac:dyDescent="0.2">
      <c r="A54" s="805"/>
      <c r="B54" s="650"/>
      <c r="C54" s="650"/>
      <c r="D54" s="650"/>
      <c r="E54" s="650"/>
      <c r="F54" s="650"/>
    </row>
    <row r="55" spans="1:6" x14ac:dyDescent="0.2">
      <c r="A55" s="805"/>
      <c r="B55" s="650"/>
      <c r="C55" s="650"/>
      <c r="D55" s="650"/>
      <c r="E55" s="650"/>
      <c r="F55" s="650"/>
    </row>
    <row r="56" spans="1:6" x14ac:dyDescent="0.2">
      <c r="A56" s="805"/>
      <c r="B56" s="650"/>
      <c r="C56" s="650"/>
      <c r="D56" s="650"/>
      <c r="E56" s="650"/>
      <c r="F56" s="650"/>
    </row>
    <row r="57" spans="1:6" x14ac:dyDescent="0.2">
      <c r="A57" s="805"/>
      <c r="B57" s="650"/>
      <c r="C57" s="650"/>
      <c r="D57" s="650"/>
      <c r="E57" s="650"/>
      <c r="F57" s="650"/>
    </row>
    <row r="58" spans="1:6" x14ac:dyDescent="0.2">
      <c r="A58" s="805"/>
      <c r="B58" s="650"/>
      <c r="C58" s="650"/>
      <c r="D58" s="650"/>
      <c r="E58" s="650"/>
      <c r="F58" s="650"/>
    </row>
    <row r="59" spans="1:6" x14ac:dyDescent="0.2">
      <c r="A59" s="805"/>
      <c r="B59" s="650"/>
      <c r="C59" s="650"/>
      <c r="D59" s="650"/>
      <c r="E59" s="650"/>
      <c r="F59" s="650"/>
    </row>
    <row r="60" spans="1:6" x14ac:dyDescent="0.2">
      <c r="A60" s="805"/>
      <c r="B60" s="650"/>
      <c r="C60" s="650"/>
      <c r="D60" s="650"/>
      <c r="E60" s="650"/>
      <c r="F60" s="650"/>
    </row>
    <row r="61" spans="1:6" x14ac:dyDescent="0.2">
      <c r="A61" s="805"/>
      <c r="B61" s="650"/>
      <c r="C61" s="650"/>
      <c r="D61" s="650"/>
      <c r="E61" s="650"/>
      <c r="F61" s="650"/>
    </row>
    <row r="62" spans="1:6" x14ac:dyDescent="0.2">
      <c r="A62" s="805"/>
      <c r="B62" s="650"/>
      <c r="C62" s="650"/>
      <c r="D62" s="650"/>
      <c r="E62" s="650"/>
      <c r="F62" s="650"/>
    </row>
    <row r="63" spans="1:6" x14ac:dyDescent="0.2">
      <c r="A63" s="805"/>
      <c r="B63" s="650"/>
      <c r="C63" s="650"/>
      <c r="D63" s="650"/>
      <c r="E63" s="650"/>
      <c r="F63" s="650"/>
    </row>
    <row r="64" spans="1:6" x14ac:dyDescent="0.2">
      <c r="A64" s="805"/>
      <c r="B64" s="650"/>
      <c r="C64" s="650"/>
      <c r="D64" s="650"/>
      <c r="E64" s="650"/>
      <c r="F64" s="650"/>
    </row>
    <row r="65" spans="1:6" x14ac:dyDescent="0.2">
      <c r="A65" s="805"/>
      <c r="B65" s="650"/>
      <c r="C65" s="650"/>
      <c r="D65" s="650"/>
      <c r="E65" s="650"/>
      <c r="F65" s="650"/>
    </row>
    <row r="66" spans="1:6" x14ac:dyDescent="0.2">
      <c r="A66" s="805"/>
      <c r="B66" s="650"/>
      <c r="C66" s="650"/>
      <c r="D66" s="650"/>
      <c r="E66" s="650"/>
      <c r="F66" s="650"/>
    </row>
    <row r="67" spans="1:6" x14ac:dyDescent="0.2">
      <c r="A67" s="805"/>
      <c r="B67" s="650"/>
      <c r="C67" s="650"/>
      <c r="D67" s="650"/>
      <c r="E67" s="650"/>
      <c r="F67" s="650"/>
    </row>
    <row r="68" spans="1:6" x14ac:dyDescent="0.2">
      <c r="A68" s="805"/>
      <c r="B68" s="650"/>
      <c r="C68" s="650"/>
      <c r="D68" s="650"/>
      <c r="E68" s="650"/>
      <c r="F68" s="650"/>
    </row>
    <row r="69" spans="1:6" x14ac:dyDescent="0.2">
      <c r="A69" s="805"/>
      <c r="B69" s="650"/>
      <c r="C69" s="650"/>
      <c r="D69" s="650"/>
      <c r="E69" s="650"/>
      <c r="F69" s="650"/>
    </row>
    <row r="70" spans="1:6" x14ac:dyDescent="0.2">
      <c r="A70" s="805"/>
      <c r="B70" s="650"/>
      <c r="C70" s="650"/>
      <c r="D70" s="650"/>
      <c r="E70" s="650"/>
      <c r="F70" s="650"/>
    </row>
    <row r="71" spans="1:6" x14ac:dyDescent="0.2">
      <c r="A71" s="805"/>
      <c r="B71" s="650"/>
      <c r="C71" s="650"/>
      <c r="D71" s="650"/>
      <c r="E71" s="650"/>
      <c r="F71" s="650"/>
    </row>
    <row r="72" spans="1:6" x14ac:dyDescent="0.2">
      <c r="A72" s="805"/>
      <c r="B72" s="650"/>
      <c r="C72" s="650"/>
      <c r="D72" s="650"/>
      <c r="E72" s="650"/>
      <c r="F72" s="650"/>
    </row>
    <row r="73" spans="1:6" x14ac:dyDescent="0.2">
      <c r="A73" s="805"/>
      <c r="B73" s="650"/>
      <c r="C73" s="650"/>
      <c r="D73" s="650"/>
      <c r="E73" s="650"/>
      <c r="F73" s="650"/>
    </row>
    <row r="74" spans="1:6" x14ac:dyDescent="0.2">
      <c r="A74" s="805"/>
      <c r="B74" s="650"/>
      <c r="C74" s="650"/>
      <c r="D74" s="650"/>
      <c r="E74" s="650"/>
      <c r="F74" s="650"/>
    </row>
    <row r="75" spans="1:6" x14ac:dyDescent="0.2">
      <c r="A75" s="805"/>
      <c r="B75" s="650"/>
      <c r="C75" s="650"/>
      <c r="D75" s="650"/>
      <c r="E75" s="650"/>
      <c r="F75" s="650"/>
    </row>
    <row r="76" spans="1:6" x14ac:dyDescent="0.2">
      <c r="A76" s="805"/>
      <c r="B76" s="650"/>
      <c r="C76" s="650"/>
      <c r="D76" s="650"/>
      <c r="E76" s="650"/>
      <c r="F76" s="650"/>
    </row>
    <row r="77" spans="1:6" x14ac:dyDescent="0.2">
      <c r="A77" s="805"/>
      <c r="B77" s="650"/>
      <c r="C77" s="650"/>
      <c r="D77" s="650"/>
      <c r="E77" s="650"/>
      <c r="F77" s="650"/>
    </row>
    <row r="78" spans="1:6" x14ac:dyDescent="0.2">
      <c r="A78" s="805"/>
      <c r="B78" s="650"/>
      <c r="C78" s="650"/>
      <c r="D78" s="650"/>
      <c r="E78" s="650"/>
      <c r="F78" s="650"/>
    </row>
    <row r="79" spans="1:6" x14ac:dyDescent="0.2">
      <c r="A79" s="805"/>
      <c r="B79" s="650"/>
      <c r="C79" s="650"/>
      <c r="D79" s="650"/>
      <c r="E79" s="650"/>
      <c r="F79" s="650"/>
    </row>
    <row r="80" spans="1:6" x14ac:dyDescent="0.2">
      <c r="A80" s="805"/>
      <c r="B80" s="650"/>
      <c r="C80" s="650"/>
      <c r="D80" s="650"/>
      <c r="E80" s="650"/>
      <c r="F80" s="650"/>
    </row>
    <row r="81" spans="1:6" x14ac:dyDescent="0.2">
      <c r="A81" s="805"/>
      <c r="B81" s="650"/>
      <c r="C81" s="650"/>
      <c r="D81" s="650"/>
      <c r="E81" s="650"/>
      <c r="F81" s="650"/>
    </row>
    <row r="82" spans="1:6" x14ac:dyDescent="0.2">
      <c r="A82" s="805"/>
      <c r="B82" s="650"/>
      <c r="C82" s="650"/>
      <c r="D82" s="650"/>
      <c r="E82" s="650"/>
      <c r="F82" s="650"/>
    </row>
    <row r="83" spans="1:6" x14ac:dyDescent="0.2">
      <c r="A83" s="805"/>
      <c r="B83" s="650"/>
      <c r="C83" s="650"/>
      <c r="D83" s="650"/>
      <c r="E83" s="650"/>
      <c r="F83" s="650"/>
    </row>
    <row r="84" spans="1:6" x14ac:dyDescent="0.2">
      <c r="A84" s="805"/>
      <c r="B84" s="650"/>
      <c r="C84" s="650"/>
      <c r="D84" s="650"/>
      <c r="E84" s="650"/>
      <c r="F84" s="650"/>
    </row>
    <row r="85" spans="1:6" x14ac:dyDescent="0.2">
      <c r="A85" s="805"/>
      <c r="B85" s="650"/>
      <c r="C85" s="650"/>
      <c r="D85" s="650"/>
      <c r="E85" s="650"/>
      <c r="F85" s="650"/>
    </row>
    <row r="86" spans="1:6" x14ac:dyDescent="0.2">
      <c r="A86" s="805"/>
      <c r="B86" s="650"/>
      <c r="C86" s="650"/>
      <c r="D86" s="650"/>
      <c r="E86" s="650"/>
      <c r="F86" s="650"/>
    </row>
    <row r="87" spans="1:6" x14ac:dyDescent="0.2">
      <c r="A87" s="805"/>
      <c r="B87" s="650"/>
      <c r="C87" s="650"/>
      <c r="D87" s="650"/>
      <c r="E87" s="650"/>
      <c r="F87" s="650"/>
    </row>
    <row r="88" spans="1:6" x14ac:dyDescent="0.2">
      <c r="A88" s="626"/>
      <c r="B88" s="650"/>
      <c r="C88" s="650"/>
      <c r="D88" s="650"/>
      <c r="E88" s="650"/>
      <c r="F88" s="650"/>
    </row>
    <row r="89" spans="1:6" x14ac:dyDescent="0.2">
      <c r="A89" s="805"/>
      <c r="B89" s="650"/>
      <c r="C89" s="650"/>
      <c r="D89" s="650"/>
      <c r="E89" s="650"/>
      <c r="F89" s="650"/>
    </row>
    <row r="90" spans="1:6" x14ac:dyDescent="0.2">
      <c r="A90" s="805"/>
      <c r="B90" s="650"/>
      <c r="C90" s="650"/>
      <c r="D90" s="650"/>
      <c r="E90" s="650"/>
      <c r="F90" s="650"/>
    </row>
    <row r="91" spans="1:6" x14ac:dyDescent="0.2">
      <c r="A91" s="805"/>
      <c r="B91" s="650"/>
      <c r="C91" s="650"/>
      <c r="D91" s="650"/>
      <c r="E91" s="650"/>
      <c r="F91" s="650"/>
    </row>
    <row r="92" spans="1:6" x14ac:dyDescent="0.2">
      <c r="A92" s="805"/>
      <c r="B92" s="650"/>
      <c r="C92" s="650"/>
      <c r="D92" s="650"/>
      <c r="E92" s="650"/>
      <c r="F92" s="650"/>
    </row>
    <row r="93" spans="1:6" x14ac:dyDescent="0.2">
      <c r="A93" s="805"/>
      <c r="B93" s="650"/>
      <c r="C93" s="650"/>
      <c r="D93" s="650"/>
      <c r="E93" s="650"/>
      <c r="F93" s="650"/>
    </row>
    <row r="94" spans="1:6" x14ac:dyDescent="0.2">
      <c r="A94" s="805"/>
      <c r="B94" s="650"/>
      <c r="C94" s="650"/>
      <c r="D94" s="650"/>
      <c r="E94" s="650"/>
      <c r="F94" s="650"/>
    </row>
    <row r="95" spans="1:6" x14ac:dyDescent="0.2">
      <c r="A95" s="624"/>
      <c r="B95" s="650"/>
      <c r="C95" s="650"/>
      <c r="D95" s="650"/>
      <c r="E95" s="650"/>
      <c r="F95" s="650"/>
    </row>
  </sheetData>
  <pageMargins left="0.7" right="0.7" top="0.75" bottom="0.75" header="0.3" footer="0.3"/>
  <customProperties>
    <customPr name="_pios_id" r:id="rId1"/>
    <customPr name="CofWorksheetType"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81"/>
  <sheetViews>
    <sheetView showGridLines="0" zoomScaleNormal="10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36" style="21" bestFit="1" customWidth="1"/>
    <col min="2" max="2" width="3.28515625" style="47" customWidth="1"/>
    <col min="3" max="8" width="8.7109375" style="21" customWidth="1"/>
    <col min="9" max="9" width="7.42578125" style="21" bestFit="1" customWidth="1"/>
    <col min="10"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ht="13.5" x14ac:dyDescent="0.25">
      <c r="A1" s="848" t="str">
        <f>muni&amp; " - "&amp;S71F&amp; " - "&amp;date</f>
        <v>KZN282 uMhlathuze - Table C7 Monthly Budget Statement - Cash Flow  - M10 April</v>
      </c>
      <c r="B1" s="848"/>
      <c r="C1" s="848"/>
      <c r="D1" s="848"/>
      <c r="E1" s="848"/>
      <c r="F1" s="848"/>
      <c r="G1" s="848"/>
      <c r="H1" s="848"/>
      <c r="I1" s="848"/>
      <c r="J1" s="848"/>
      <c r="K1" s="848"/>
    </row>
    <row r="2" spans="1:11" x14ac:dyDescent="0.25">
      <c r="A2" s="837" t="str">
        <f>desc</f>
        <v>Description</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00"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28" t="s">
        <v>615</v>
      </c>
      <c r="B4" s="72">
        <v>1</v>
      </c>
      <c r="C4" s="93"/>
      <c r="D4" s="134"/>
      <c r="E4" s="135"/>
      <c r="F4" s="57"/>
      <c r="G4" s="57"/>
      <c r="H4" s="57"/>
      <c r="I4" s="57"/>
      <c r="J4" s="324" t="s">
        <v>528</v>
      </c>
      <c r="K4" s="120"/>
    </row>
    <row r="5" spans="1:11" ht="12.75" customHeight="1" x14ac:dyDescent="0.25">
      <c r="A5" s="156" t="s">
        <v>775</v>
      </c>
      <c r="B5" s="410"/>
      <c r="C5" s="377"/>
      <c r="D5" s="378"/>
      <c r="E5" s="325"/>
      <c r="F5" s="325"/>
      <c r="G5" s="325"/>
      <c r="H5" s="325"/>
      <c r="I5" s="325"/>
      <c r="J5" s="325"/>
      <c r="K5" s="121"/>
    </row>
    <row r="6" spans="1:11" ht="12.75" customHeight="1" x14ac:dyDescent="0.25">
      <c r="A6" s="59" t="s">
        <v>827</v>
      </c>
      <c r="B6" s="90"/>
      <c r="C6" s="354"/>
      <c r="D6" s="419"/>
      <c r="E6" s="412"/>
      <c r="F6" s="412"/>
      <c r="G6" s="413"/>
      <c r="H6" s="413"/>
      <c r="I6" s="413"/>
      <c r="J6" s="351" t="str">
        <f t="shared" ref="J6:J12" si="0">IF(I6=0,"",I6/H6)</f>
        <v/>
      </c>
      <c r="K6" s="414"/>
    </row>
    <row r="7" spans="1:11" ht="12.75" customHeight="1" x14ac:dyDescent="0.25">
      <c r="A7" s="30" t="s">
        <v>856</v>
      </c>
      <c r="B7" s="90"/>
      <c r="C7" s="366">
        <f>'C7Q'!N5</f>
        <v>608930759.97000003</v>
      </c>
      <c r="D7" s="366">
        <f>'C7Q'!B4</f>
        <v>754885661.89999998</v>
      </c>
      <c r="E7" s="331">
        <f>'C7Q'!C4</f>
        <v>734111943.5</v>
      </c>
      <c r="F7" s="331">
        <f>'C7Q'!O5</f>
        <v>49443840.009999998</v>
      </c>
      <c r="G7" s="331">
        <f>'C7Q'!P5</f>
        <v>518602408.25</v>
      </c>
      <c r="H7" s="331">
        <f>'C7Q'!D4</f>
        <v>610366909.88999999</v>
      </c>
      <c r="I7" s="781">
        <f t="shared" ref="I7:I13" si="1">G7-H7</f>
        <v>-91764501.639999986</v>
      </c>
      <c r="J7" s="781">
        <f t="shared" si="0"/>
        <v>-0.15034317908311534</v>
      </c>
      <c r="K7" s="332">
        <f>'C7Q'!E4</f>
        <v>734111943.5</v>
      </c>
    </row>
    <row r="8" spans="1:11" ht="12.75" customHeight="1" x14ac:dyDescent="0.25">
      <c r="A8" s="30" t="s">
        <v>887</v>
      </c>
      <c r="B8" s="90"/>
      <c r="C8" s="366">
        <f>SUM('C7Q'!N6:N9)</f>
        <v>2691083650.77</v>
      </c>
      <c r="D8" s="366">
        <f>SUM('C7Q'!B5:B8)</f>
        <v>3678016810.0500002</v>
      </c>
      <c r="E8" s="331">
        <f>SUM('C7Q'!C5:C8)</f>
        <v>3470490398.0400004</v>
      </c>
      <c r="F8" s="331">
        <f>SUM('C7Q'!O6:O9)</f>
        <v>243212807.87</v>
      </c>
      <c r="G8" s="331">
        <f>SUM('C7Q'!P6:P9)</f>
        <v>2544542137.4499998</v>
      </c>
      <c r="H8" s="331">
        <f>SUM('C7Q'!D5:D8)</f>
        <v>2774616304.6599998</v>
      </c>
      <c r="I8" s="781">
        <f t="shared" si="1"/>
        <v>-230074167.21000004</v>
      </c>
      <c r="J8" s="781">
        <f t="shared" si="0"/>
        <v>-8.2921075185634796E-2</v>
      </c>
      <c r="K8" s="332">
        <f>SUM('C7Q'!E5:E8)</f>
        <v>3470490398.0400004</v>
      </c>
    </row>
    <row r="9" spans="1:11" ht="12.75" customHeight="1" x14ac:dyDescent="0.25">
      <c r="A9" s="30" t="s">
        <v>413</v>
      </c>
      <c r="B9" s="90"/>
      <c r="C9" s="366">
        <f>'C7Q'!N10+SUM('C7Q'!N14:N16)+'C7Q'!N18</f>
        <v>767414361.50999999</v>
      </c>
      <c r="D9" s="366">
        <f>'C7Q'!B9+SUM('C7Q'!B13:B15)+'C7Q'!B17</f>
        <v>69862452</v>
      </c>
      <c r="E9" s="331">
        <f>'C7Q'!C9+SUM('C7Q'!C13:C15)+'C7Q'!C17</f>
        <v>70589966.519999996</v>
      </c>
      <c r="F9" s="331">
        <f>'C7Q'!O10+SUM('C7Q'!O14:O16)+'C7Q'!O18</f>
        <v>68884263.350000009</v>
      </c>
      <c r="G9" s="331">
        <f>'C7Q'!P10+SUM('C7Q'!P14:P16)+'C7Q'!P18</f>
        <v>687826448.36000001</v>
      </c>
      <c r="H9" s="331">
        <f>'C7Q'!D9+SUM('C7Q'!D13:D15)+'C7Q'!D17</f>
        <v>65332327.269999996</v>
      </c>
      <c r="I9" s="781">
        <f t="shared" si="1"/>
        <v>622494121.09000003</v>
      </c>
      <c r="J9" s="781">
        <f t="shared" si="0"/>
        <v>9.5281179639814173</v>
      </c>
      <c r="K9" s="332">
        <f>'C7Q'!E9+SUM('C7Q'!E13:E15)+'C7Q'!E17</f>
        <v>70589966.519999996</v>
      </c>
    </row>
    <row r="10" spans="1:11" ht="12.75" customHeight="1" x14ac:dyDescent="0.25">
      <c r="A10" s="30" t="s">
        <v>1270</v>
      </c>
      <c r="B10" s="90"/>
      <c r="C10" s="366">
        <f>'C7Q'!N17</f>
        <v>530336758.54000002</v>
      </c>
      <c r="D10" s="366">
        <f>'C7Q'!B16</f>
        <v>587345000</v>
      </c>
      <c r="E10" s="331">
        <f>'C7Q'!C16</f>
        <v>592697200</v>
      </c>
      <c r="F10" s="331">
        <f>'C7Q'!O17</f>
        <v>261390.68</v>
      </c>
      <c r="G10" s="331">
        <f>'C7Q'!P17</f>
        <v>576564286.65999997</v>
      </c>
      <c r="H10" s="331">
        <f>'C7Q'!D16</f>
        <v>594917902.48000002</v>
      </c>
      <c r="I10" s="781">
        <f t="shared" si="1"/>
        <v>-18353615.820000052</v>
      </c>
      <c r="J10" s="781">
        <f t="shared" si="0"/>
        <v>-3.0850669888215485E-2</v>
      </c>
      <c r="K10" s="332">
        <f>'C7Q'!E16</f>
        <v>592697200</v>
      </c>
    </row>
    <row r="11" spans="1:11" ht="12.75" customHeight="1" x14ac:dyDescent="0.25">
      <c r="A11" s="30" t="s">
        <v>1271</v>
      </c>
      <c r="B11" s="90"/>
      <c r="C11" s="366">
        <f>'C7Q'!N21</f>
        <v>242420000</v>
      </c>
      <c r="D11" s="366">
        <f>'C7Q'!B20</f>
        <v>219003000</v>
      </c>
      <c r="E11" s="331">
        <f>'C7Q'!C20</f>
        <v>227008100</v>
      </c>
      <c r="F11" s="331">
        <f>'C7Q'!O21</f>
        <v>0</v>
      </c>
      <c r="G11" s="331">
        <f>'C7Q'!P21</f>
        <v>204448000</v>
      </c>
      <c r="H11" s="331">
        <f>'C7Q'!D20</f>
        <v>173963692.47999999</v>
      </c>
      <c r="I11" s="781">
        <f t="shared" si="1"/>
        <v>30484307.520000011</v>
      </c>
      <c r="J11" s="781">
        <f t="shared" si="0"/>
        <v>0.17523373461105793</v>
      </c>
      <c r="K11" s="332">
        <f>'C7Q'!E20</f>
        <v>227008100</v>
      </c>
    </row>
    <row r="12" spans="1:11" ht="12.75" customHeight="1" x14ac:dyDescent="0.25">
      <c r="A12" s="30" t="s">
        <v>817</v>
      </c>
      <c r="B12" s="90"/>
      <c r="C12" s="366">
        <f>SUM('C7Q'!N11:N12)</f>
        <v>25933196.140000001</v>
      </c>
      <c r="D12" s="366">
        <f>SUM('C7Q'!B10:B11)</f>
        <v>45027342</v>
      </c>
      <c r="E12" s="331">
        <f>SUM('C7Q'!C10:C11)</f>
        <v>45026460</v>
      </c>
      <c r="F12" s="331">
        <f>SUM('C7Q'!O11:O12)</f>
        <v>3171277.88</v>
      </c>
      <c r="G12" s="331">
        <f>SUM('C7Q'!P11:P12)</f>
        <v>20946715.809999999</v>
      </c>
      <c r="H12" s="331">
        <f>SUM('C7Q'!D10:D11)</f>
        <v>32075591.080000002</v>
      </c>
      <c r="I12" s="781">
        <f t="shared" si="1"/>
        <v>-11128875.270000003</v>
      </c>
      <c r="J12" s="781">
        <f t="shared" si="0"/>
        <v>-0.3469577611911619</v>
      </c>
      <c r="K12" s="332">
        <f>SUM('C7Q'!E10:E11)</f>
        <v>45026460</v>
      </c>
    </row>
    <row r="13" spans="1:11" ht="12.75" customHeight="1" x14ac:dyDescent="0.25">
      <c r="A13" s="30" t="s">
        <v>614</v>
      </c>
      <c r="B13" s="90"/>
      <c r="C13" s="366">
        <f>'C7Q'!N13</f>
        <v>0</v>
      </c>
      <c r="D13" s="366">
        <f>'C7Q'!B12</f>
        <v>0</v>
      </c>
      <c r="E13" s="331">
        <f>'C7Q'!C12</f>
        <v>0</v>
      </c>
      <c r="F13" s="331">
        <f>'C7Q'!O13</f>
        <v>0</v>
      </c>
      <c r="G13" s="331">
        <f>'C7Q'!P13</f>
        <v>0</v>
      </c>
      <c r="H13" s="331">
        <f>'C7Q'!D12</f>
        <v>0</v>
      </c>
      <c r="I13" s="781">
        <f t="shared" si="1"/>
        <v>0</v>
      </c>
      <c r="J13" s="781" t="str">
        <f t="shared" ref="J13:J18" si="2">IF(I13=0,"",I13/H13)</f>
        <v/>
      </c>
      <c r="K13" s="332">
        <f>'C7Q'!E12</f>
        <v>0</v>
      </c>
    </row>
    <row r="14" spans="1:11" ht="12.75" customHeight="1" x14ac:dyDescent="0.25">
      <c r="A14" s="59" t="s">
        <v>828</v>
      </c>
      <c r="B14" s="90"/>
      <c r="C14" s="366"/>
      <c r="D14" s="366"/>
      <c r="E14" s="331"/>
      <c r="F14" s="331"/>
      <c r="G14" s="331"/>
      <c r="H14" s="331"/>
      <c r="I14" s="781"/>
      <c r="J14" s="781"/>
      <c r="K14" s="332"/>
    </row>
    <row r="15" spans="1:11" ht="12.75" customHeight="1" x14ac:dyDescent="0.25">
      <c r="A15" s="30" t="s">
        <v>644</v>
      </c>
      <c r="B15" s="90"/>
      <c r="C15" s="366">
        <f>-(SUM('C7Q'!N31:N32)+SUM('C7Q'!N34:N37)+'C7Q'!N40+'C7Q'!N45)</f>
        <v>-4315249242.71</v>
      </c>
      <c r="D15" s="366">
        <f>-(SUM('C7Q'!B30:B31)+SUM('C7Q'!B33:B36)+'C7Q'!B39+'C7Q'!B44)</f>
        <v>-4467606585</v>
      </c>
      <c r="E15" s="331">
        <f>-(SUM('C7Q'!C30:C31)+SUM('C7Q'!C33:C36)+'C7Q'!C39+'C7Q'!C44)</f>
        <v>-4539464466.0199995</v>
      </c>
      <c r="F15" s="331">
        <f>-(SUM('C7Q'!O31:O32)+SUM('C7Q'!O34:O37)+'C7Q'!O40+'C7Q'!O45)</f>
        <v>-374656825.70999998</v>
      </c>
      <c r="G15" s="331">
        <f>-(SUM('C7Q'!P31:P32)+SUM('C7Q'!P34:P37)+'C7Q'!P40+'C7Q'!P45)</f>
        <v>-3950686499.21</v>
      </c>
      <c r="H15" s="331">
        <f>-(SUM('C7Q'!D30:D31)+SUM('C7Q'!D33:D36)+'C7Q'!D39+'C7Q'!D44)</f>
        <v>-3679516384.3299994</v>
      </c>
      <c r="I15" s="781">
        <f>H15-G15</f>
        <v>271170114.88000059</v>
      </c>
      <c r="J15" s="781">
        <f t="shared" si="2"/>
        <v>-7.3697216306696178E-2</v>
      </c>
      <c r="K15" s="332">
        <f>-(SUM('C7Q'!E30:E31)+SUM('C7Q'!E33:E36)+'C7Q'!E39+'C7Q'!E44)</f>
        <v>-4539464466.0199995</v>
      </c>
    </row>
    <row r="16" spans="1:11" ht="12.75" customHeight="1" x14ac:dyDescent="0.25">
      <c r="A16" s="30" t="s">
        <v>817</v>
      </c>
      <c r="B16" s="90"/>
      <c r="C16" s="366">
        <f>-'C7Q'!N33</f>
        <v>-164382679.91999999</v>
      </c>
      <c r="D16" s="366">
        <f>-'C7Q'!B32</f>
        <v>-178823500</v>
      </c>
      <c r="E16" s="331">
        <f>-'C7Q'!C32</f>
        <v>-184846100</v>
      </c>
      <c r="F16" s="331">
        <f>-'C7Q'!O33</f>
        <v>0</v>
      </c>
      <c r="G16" s="331">
        <f>-'C7Q'!P33</f>
        <v>-94957175.890000001</v>
      </c>
      <c r="H16" s="331">
        <f>-'C7Q'!D32</f>
        <v>-153636465.36000001</v>
      </c>
      <c r="I16" s="781">
        <f>H16-G16</f>
        <v>-58679289.470000014</v>
      </c>
      <c r="J16" s="781">
        <f t="shared" si="2"/>
        <v>0.38193595076860865</v>
      </c>
      <c r="K16" s="332">
        <f>-'C7Q'!E32</f>
        <v>-184846100</v>
      </c>
    </row>
    <row r="17" spans="1:11" ht="12.75" customHeight="1" x14ac:dyDescent="0.25">
      <c r="A17" s="614" t="s">
        <v>1330</v>
      </c>
      <c r="B17" s="90"/>
      <c r="C17" s="366"/>
      <c r="D17" s="366">
        <f>-SUM('C7Q'!B37:B38)</f>
        <v>-7582000</v>
      </c>
      <c r="E17" s="331">
        <f>-SUM('C7Q'!C37:C38)</f>
        <v>-6432000</v>
      </c>
      <c r="F17" s="331">
        <f>-SUM('C7Q'!O38:O39)</f>
        <v>0</v>
      </c>
      <c r="G17" s="392"/>
      <c r="H17" s="331">
        <f>-SUM('C7Q'!D37:D38)</f>
        <v>-2937891.1</v>
      </c>
      <c r="I17" s="781">
        <f>H17-G17</f>
        <v>-2937891.1</v>
      </c>
      <c r="J17" s="781">
        <f t="shared" si="2"/>
        <v>1</v>
      </c>
      <c r="K17" s="332">
        <f>-SUM('C7Q'!E37:E38)</f>
        <v>-6432000</v>
      </c>
    </row>
    <row r="18" spans="1:11" ht="12.75" customHeight="1" x14ac:dyDescent="0.25">
      <c r="A18" s="62" t="s">
        <v>820</v>
      </c>
      <c r="B18" s="127"/>
      <c r="C18" s="137">
        <f t="shared" ref="C18:H18" si="3">SUM(C7:C13)+SUM(C15:C17)</f>
        <v>386486804.30000019</v>
      </c>
      <c r="D18" s="53">
        <f t="shared" si="3"/>
        <v>700128180.94999981</v>
      </c>
      <c r="E18" s="52">
        <f t="shared" si="3"/>
        <v>409181502.04000092</v>
      </c>
      <c r="F18" s="52">
        <f t="shared" si="3"/>
        <v>-9683245.9199999571</v>
      </c>
      <c r="G18" s="150">
        <f t="shared" si="3"/>
        <v>507286321.43000078</v>
      </c>
      <c r="H18" s="52">
        <f t="shared" si="3"/>
        <v>415181987.07000017</v>
      </c>
      <c r="I18" s="52">
        <f>H18-G18</f>
        <v>-92104334.36000061</v>
      </c>
      <c r="J18" s="388">
        <f t="shared" si="2"/>
        <v>-0.22184087274593564</v>
      </c>
      <c r="K18" s="79">
        <f>SUM(K7:K13)+SUM(K15:K17)</f>
        <v>409181502.04000092</v>
      </c>
    </row>
    <row r="19" spans="1:11" ht="5.0999999999999996" customHeight="1" x14ac:dyDescent="0.25">
      <c r="A19" s="32"/>
      <c r="B19" s="90"/>
      <c r="C19" s="74"/>
      <c r="D19" s="36"/>
      <c r="E19" s="148"/>
      <c r="F19" s="34"/>
      <c r="G19" s="148"/>
      <c r="H19" s="34"/>
      <c r="I19" s="34"/>
      <c r="J19" s="34"/>
      <c r="K19" s="78"/>
    </row>
    <row r="20" spans="1:11" ht="12.75" customHeight="1" x14ac:dyDescent="0.25">
      <c r="A20" s="59" t="s">
        <v>669</v>
      </c>
      <c r="B20" s="90"/>
      <c r="C20" s="74"/>
      <c r="D20" s="36"/>
      <c r="E20" s="148"/>
      <c r="F20" s="34"/>
      <c r="G20" s="148"/>
      <c r="H20" s="34"/>
      <c r="I20" s="34"/>
      <c r="J20" s="34"/>
      <c r="K20" s="78"/>
    </row>
    <row r="21" spans="1:11" ht="12.75" customHeight="1" x14ac:dyDescent="0.25">
      <c r="A21" s="59" t="s">
        <v>827</v>
      </c>
      <c r="B21" s="90"/>
      <c r="C21" s="74"/>
      <c r="D21" s="36"/>
      <c r="E21" s="34"/>
      <c r="F21" s="34"/>
      <c r="G21" s="148"/>
      <c r="H21" s="34"/>
      <c r="I21" s="34"/>
      <c r="J21" s="34"/>
      <c r="K21" s="78"/>
    </row>
    <row r="22" spans="1:11" ht="12.75" customHeight="1" x14ac:dyDescent="0.25">
      <c r="A22" s="30" t="s">
        <v>849</v>
      </c>
      <c r="B22" s="90"/>
      <c r="C22" s="331">
        <f>SUM('C7Q'!N22:N23)</f>
        <v>55710000</v>
      </c>
      <c r="D22" s="366">
        <f>SUM('C7Q'!B21:B22)</f>
        <v>0</v>
      </c>
      <c r="E22" s="331">
        <f>SUM('C7Q'!C21:C22)</f>
        <v>0</v>
      </c>
      <c r="F22" s="331">
        <f>SUM('C7Q'!O22:O23)</f>
        <v>0</v>
      </c>
      <c r="G22" s="415">
        <f>SUM('C7Q'!P22:P23)</f>
        <v>0</v>
      </c>
      <c r="H22" s="331">
        <f>SUM('C7Q'!D21:D22)</f>
        <v>0</v>
      </c>
      <c r="I22" s="34">
        <f>G22-H22</f>
        <v>0</v>
      </c>
      <c r="J22" s="690" t="str">
        <f>IF(H22=0,"",I22/H22)</f>
        <v/>
      </c>
      <c r="K22" s="332">
        <f>SUM('C7Q'!E21:E22)</f>
        <v>0</v>
      </c>
    </row>
    <row r="23" spans="1:11" ht="12.75" hidden="1" customHeight="1" x14ac:dyDescent="0.25">
      <c r="A23" s="30"/>
      <c r="B23" s="90"/>
      <c r="C23" s="34"/>
      <c r="D23" s="36"/>
      <c r="E23" s="34"/>
      <c r="F23" s="34"/>
      <c r="G23" s="148"/>
      <c r="H23" s="34"/>
      <c r="I23" s="34"/>
      <c r="J23" s="287"/>
      <c r="K23" s="78"/>
    </row>
    <row r="24" spans="1:11" ht="12.75" customHeight="1" x14ac:dyDescent="0.25">
      <c r="A24" s="30" t="s">
        <v>1269</v>
      </c>
      <c r="B24" s="417"/>
      <c r="C24" s="331">
        <f>'C7Q'!N27</f>
        <v>0</v>
      </c>
      <c r="D24" s="366">
        <f>'C7Q'!B26</f>
        <v>0</v>
      </c>
      <c r="E24" s="331">
        <f>'C7Q'!C26</f>
        <v>0</v>
      </c>
      <c r="F24" s="331">
        <f>'C7Q'!O27</f>
        <v>0</v>
      </c>
      <c r="G24" s="415">
        <f>'C7Q'!P27</f>
        <v>0</v>
      </c>
      <c r="H24" s="331">
        <f>'C7Q'!D26</f>
        <v>0</v>
      </c>
      <c r="I24" s="34">
        <f>G24-H24</f>
        <v>0</v>
      </c>
      <c r="J24" s="351" t="str">
        <f t="shared" ref="J24:J25" si="4">IF(I24=0,"",I24/H24)</f>
        <v/>
      </c>
      <c r="K24" s="332">
        <f>'C7Q'!E26</f>
        <v>0</v>
      </c>
    </row>
    <row r="25" spans="1:11" ht="12.75" customHeight="1" x14ac:dyDescent="0.25">
      <c r="A25" s="30" t="s">
        <v>819</v>
      </c>
      <c r="B25" s="90"/>
      <c r="C25" s="331">
        <f>'C7Q'!N28</f>
        <v>0</v>
      </c>
      <c r="D25" s="366">
        <f>'C7Q'!B27</f>
        <v>0</v>
      </c>
      <c r="E25" s="331">
        <f>'C7Q'!C27</f>
        <v>0</v>
      </c>
      <c r="F25" s="331">
        <f>'C7Q'!O28</f>
        <v>0</v>
      </c>
      <c r="G25" s="415">
        <f>'C7Q'!P28</f>
        <v>0</v>
      </c>
      <c r="H25" s="331">
        <f>'C7Q'!D27</f>
        <v>0</v>
      </c>
      <c r="I25" s="34">
        <f>G25-H25</f>
        <v>0</v>
      </c>
      <c r="J25" s="351" t="str">
        <f t="shared" si="4"/>
        <v/>
      </c>
      <c r="K25" s="332">
        <f>'C7Q'!E27</f>
        <v>0</v>
      </c>
    </row>
    <row r="26" spans="1:11" ht="12.75" customHeight="1" x14ac:dyDescent="0.25">
      <c r="A26" s="59" t="s">
        <v>828</v>
      </c>
      <c r="B26" s="90"/>
      <c r="C26" s="74"/>
      <c r="D26" s="36"/>
      <c r="E26" s="34"/>
      <c r="F26" s="34"/>
      <c r="G26" s="148"/>
      <c r="H26" s="34"/>
      <c r="I26" s="34"/>
      <c r="J26" s="34"/>
      <c r="K26" s="78"/>
    </row>
    <row r="27" spans="1:11" ht="12.75" customHeight="1" x14ac:dyDescent="0.25">
      <c r="A27" s="30" t="s">
        <v>645</v>
      </c>
      <c r="B27" s="90"/>
      <c r="C27" s="379">
        <f>-'C7Q'!N43</f>
        <v>-914510516.59000003</v>
      </c>
      <c r="D27" s="366">
        <f>-'C7Q'!B42</f>
        <v>-702643100</v>
      </c>
      <c r="E27" s="331">
        <f>-'C7Q'!C42</f>
        <v>-721975980.05999994</v>
      </c>
      <c r="F27" s="331">
        <f>-'C7Q'!O43</f>
        <v>-48967469.770000003</v>
      </c>
      <c r="G27" s="415">
        <f>-'C7Q'!P43</f>
        <v>-508003098.42000002</v>
      </c>
      <c r="H27" s="331">
        <f>-'C7Q'!D42</f>
        <v>-569532824.60000002</v>
      </c>
      <c r="I27" s="34">
        <f>H27-G27</f>
        <v>-61529726.180000007</v>
      </c>
      <c r="J27" s="351">
        <f>IF(H27=0,"",I27/H27)</f>
        <v>0.10803543452164356</v>
      </c>
      <c r="K27" s="332">
        <f>-'C7Q'!E42</f>
        <v>-721975980.05999994</v>
      </c>
    </row>
    <row r="28" spans="1:11" ht="12.75" customHeight="1" x14ac:dyDescent="0.25">
      <c r="A28" s="62" t="s">
        <v>821</v>
      </c>
      <c r="B28" s="127"/>
      <c r="C28" s="52">
        <f t="shared" ref="C28:H28" si="5">SUM(C22:C25)+C27</f>
        <v>-858800516.59000003</v>
      </c>
      <c r="D28" s="53">
        <f>SUM(D22:D25)+D27</f>
        <v>-702643100</v>
      </c>
      <c r="E28" s="52">
        <f t="shared" si="5"/>
        <v>-721975980.05999994</v>
      </c>
      <c r="F28" s="52">
        <f t="shared" si="5"/>
        <v>-48967469.770000003</v>
      </c>
      <c r="G28" s="150">
        <f t="shared" si="5"/>
        <v>-508003098.42000002</v>
      </c>
      <c r="H28" s="52">
        <f t="shared" si="5"/>
        <v>-569532824.60000002</v>
      </c>
      <c r="I28" s="52">
        <f>H28-G28</f>
        <v>-61529726.180000007</v>
      </c>
      <c r="J28" s="803">
        <f t="shared" ref="J28:J37" si="6">IF(H28=0,"",I28/H28)</f>
        <v>0.10803543452164356</v>
      </c>
      <c r="K28" s="79">
        <f>SUM(K22:K25)+K27</f>
        <v>-721975980.05999994</v>
      </c>
    </row>
    <row r="29" spans="1:11" ht="5.0999999999999996" customHeight="1" x14ac:dyDescent="0.25">
      <c r="A29" s="32"/>
      <c r="B29" s="90"/>
      <c r="C29" s="74"/>
      <c r="D29" s="36"/>
      <c r="E29" s="34"/>
      <c r="F29" s="34"/>
      <c r="G29" s="148"/>
      <c r="H29" s="34"/>
      <c r="I29" s="34"/>
      <c r="J29" s="359" t="str">
        <f t="shared" si="6"/>
        <v/>
      </c>
      <c r="K29" s="78"/>
    </row>
    <row r="30" spans="1:11" ht="12.75" customHeight="1" x14ac:dyDescent="0.25">
      <c r="A30" s="59" t="s">
        <v>691</v>
      </c>
      <c r="B30" s="90"/>
      <c r="C30" s="74"/>
      <c r="D30" s="36"/>
      <c r="E30" s="34"/>
      <c r="F30" s="34"/>
      <c r="G30" s="148"/>
      <c r="H30" s="34"/>
      <c r="I30" s="34"/>
      <c r="J30" s="351" t="str">
        <f t="shared" si="6"/>
        <v/>
      </c>
      <c r="K30" s="78"/>
    </row>
    <row r="31" spans="1:11" ht="12.75" customHeight="1" x14ac:dyDescent="0.25">
      <c r="A31" s="59" t="s">
        <v>827</v>
      </c>
      <c r="B31" s="90"/>
      <c r="C31" s="74"/>
      <c r="D31" s="36"/>
      <c r="E31" s="34"/>
      <c r="F31" s="34"/>
      <c r="G31" s="148"/>
      <c r="H31" s="34"/>
      <c r="I31" s="34"/>
      <c r="J31" s="351" t="str">
        <f t="shared" si="6"/>
        <v/>
      </c>
      <c r="K31" s="78"/>
    </row>
    <row r="32" spans="1:11" ht="12.75" customHeight="1" x14ac:dyDescent="0.25">
      <c r="A32" s="30" t="s">
        <v>831</v>
      </c>
      <c r="B32" s="90"/>
      <c r="C32" s="379"/>
      <c r="D32" s="366">
        <f>'C7Q'!B23</f>
        <v>0</v>
      </c>
      <c r="E32" s="331">
        <f>'C7Q'!C23</f>
        <v>0</v>
      </c>
      <c r="F32" s="331">
        <f>'C7Q'!O24</f>
        <v>0</v>
      </c>
      <c r="G32" s="415">
        <f>'C7Q'!P24</f>
        <v>0</v>
      </c>
      <c r="H32" s="331">
        <f>'C7Q'!D23</f>
        <v>0</v>
      </c>
      <c r="I32" s="34">
        <f>G32-H32</f>
        <v>0</v>
      </c>
      <c r="J32" s="351" t="str">
        <f t="shared" si="6"/>
        <v/>
      </c>
      <c r="K32" s="332">
        <f>'C7Q'!E23</f>
        <v>0</v>
      </c>
    </row>
    <row r="33" spans="1:14" ht="12.75" customHeight="1" x14ac:dyDescent="0.25">
      <c r="A33" s="30" t="s">
        <v>883</v>
      </c>
      <c r="B33" s="90"/>
      <c r="C33" s="379">
        <f>'C7Q'!N25</f>
        <v>410000000</v>
      </c>
      <c r="D33" s="366">
        <f>'C7Q'!B24</f>
        <v>380000000</v>
      </c>
      <c r="E33" s="331">
        <f>'C7Q'!C24</f>
        <v>380000000</v>
      </c>
      <c r="F33" s="331">
        <f>'C7Q'!O25</f>
        <v>0</v>
      </c>
      <c r="G33" s="415">
        <f>'C7Q'!P25</f>
        <v>380000000</v>
      </c>
      <c r="H33" s="331">
        <f>'C7Q'!D24</f>
        <v>200000000</v>
      </c>
      <c r="I33" s="34">
        <f>G33-H33</f>
        <v>180000000</v>
      </c>
      <c r="J33" s="351">
        <f t="shared" si="6"/>
        <v>0.9</v>
      </c>
      <c r="K33" s="332">
        <f>'C7Q'!E24</f>
        <v>380000000</v>
      </c>
    </row>
    <row r="34" spans="1:14" ht="12.75" customHeight="1" x14ac:dyDescent="0.25">
      <c r="A34" s="30" t="s">
        <v>54</v>
      </c>
      <c r="B34" s="90"/>
      <c r="C34" s="379">
        <f>-'C7Q'!N26</f>
        <v>-3294418.01</v>
      </c>
      <c r="D34" s="366">
        <f>'C7Q'!B25</f>
        <v>0</v>
      </c>
      <c r="E34" s="331">
        <f>'C7Q'!C25</f>
        <v>0</v>
      </c>
      <c r="F34" s="331">
        <f>-'C7Q'!O26</f>
        <v>-88021.5</v>
      </c>
      <c r="G34" s="415">
        <f>-'C7Q'!P26</f>
        <v>-1148898.46</v>
      </c>
      <c r="H34" s="331">
        <f>'C7Q'!D25</f>
        <v>0</v>
      </c>
      <c r="I34" s="34">
        <f>G34-H34</f>
        <v>-1148898.46</v>
      </c>
      <c r="J34" s="351" t="str">
        <f t="shared" si="6"/>
        <v/>
      </c>
      <c r="K34" s="332">
        <f>'C7Q'!E25</f>
        <v>0</v>
      </c>
    </row>
    <row r="35" spans="1:14" ht="12.75" customHeight="1" x14ac:dyDescent="0.25">
      <c r="A35" s="59" t="s">
        <v>828</v>
      </c>
      <c r="B35" s="90"/>
      <c r="C35" s="74"/>
      <c r="D35" s="36"/>
      <c r="E35" s="148"/>
      <c r="F35" s="34"/>
      <c r="G35" s="148"/>
      <c r="H35" s="34"/>
      <c r="I35" s="34"/>
      <c r="J35" s="351" t="str">
        <f t="shared" si="6"/>
        <v/>
      </c>
      <c r="K35" s="78"/>
    </row>
    <row r="36" spans="1:14" ht="12.75" customHeight="1" x14ac:dyDescent="0.25">
      <c r="A36" s="30" t="s">
        <v>830</v>
      </c>
      <c r="B36" s="90"/>
      <c r="C36" s="379">
        <f>-'C7Q'!N44</f>
        <v>-172699590.21000001</v>
      </c>
      <c r="D36" s="366">
        <f>-'C7Q'!B43</f>
        <v>-181780900</v>
      </c>
      <c r="E36" s="415">
        <f>-'C7Q'!C43</f>
        <v>-192248500</v>
      </c>
      <c r="F36" s="331">
        <f>-'C7Q'!O44</f>
        <v>0</v>
      </c>
      <c r="G36" s="331">
        <f>-'C7Q'!P44</f>
        <v>-96411889.390000001</v>
      </c>
      <c r="H36" s="331">
        <f>-'C7Q'!D43</f>
        <v>-93347200</v>
      </c>
      <c r="I36" s="34">
        <f>H36-G36</f>
        <v>3064689.3900000006</v>
      </c>
      <c r="J36" s="351">
        <f t="shared" si="6"/>
        <v>-3.2831079989544418E-2</v>
      </c>
      <c r="K36" s="332">
        <f>-'C7Q'!E43</f>
        <v>-192248500</v>
      </c>
    </row>
    <row r="37" spans="1:14" ht="12.75" customHeight="1" x14ac:dyDescent="0.25">
      <c r="A37" s="62" t="s">
        <v>822</v>
      </c>
      <c r="B37" s="127"/>
      <c r="C37" s="52">
        <f t="shared" ref="C37:H37" si="7">SUM(C32:C34)+C36</f>
        <v>234005991.78</v>
      </c>
      <c r="D37" s="53">
        <f t="shared" si="7"/>
        <v>198219100</v>
      </c>
      <c r="E37" s="150">
        <f t="shared" si="7"/>
        <v>187751500</v>
      </c>
      <c r="F37" s="52">
        <f t="shared" si="7"/>
        <v>-88021.5</v>
      </c>
      <c r="G37" s="52">
        <f t="shared" si="7"/>
        <v>282439212.15000004</v>
      </c>
      <c r="H37" s="52">
        <f t="shared" si="7"/>
        <v>106652800</v>
      </c>
      <c r="I37" s="52">
        <f>H37-G37</f>
        <v>-175786412.15000004</v>
      </c>
      <c r="J37" s="359">
        <f t="shared" si="6"/>
        <v>-1.6482118814508389</v>
      </c>
      <c r="K37" s="79">
        <f>SUM(K32:K34)+K36</f>
        <v>187751500</v>
      </c>
    </row>
    <row r="38" spans="1:14" ht="5.0999999999999996" customHeight="1" x14ac:dyDescent="0.25">
      <c r="A38" s="32"/>
      <c r="B38" s="90"/>
      <c r="C38" s="74"/>
      <c r="D38" s="36"/>
      <c r="E38" s="34"/>
      <c r="F38" s="34"/>
      <c r="G38" s="34"/>
      <c r="H38" s="34"/>
      <c r="I38" s="397"/>
      <c r="J38" s="397"/>
      <c r="K38" s="78"/>
    </row>
    <row r="39" spans="1:14" ht="12.75" customHeight="1" x14ac:dyDescent="0.25">
      <c r="A39" s="59" t="s">
        <v>832</v>
      </c>
      <c r="B39" s="90"/>
      <c r="C39" s="69">
        <f t="shared" ref="C39:H39" si="8">C18+C28+C37</f>
        <v>-238307720.50999984</v>
      </c>
      <c r="D39" s="39">
        <f t="shared" si="8"/>
        <v>195704180.94999981</v>
      </c>
      <c r="E39" s="38">
        <f t="shared" si="8"/>
        <v>-125042978.01999903</v>
      </c>
      <c r="F39" s="38">
        <f t="shared" si="8"/>
        <v>-58738737.18999996</v>
      </c>
      <c r="G39" s="38">
        <f t="shared" si="8"/>
        <v>281722435.1600008</v>
      </c>
      <c r="H39" s="38">
        <f t="shared" si="8"/>
        <v>-47698037.529999852</v>
      </c>
      <c r="I39" s="396"/>
      <c r="J39" s="396"/>
      <c r="K39" s="96">
        <f>K18+K28+K37</f>
        <v>-125042978.01999903</v>
      </c>
    </row>
    <row r="40" spans="1:14" ht="12.75" customHeight="1" x14ac:dyDescent="0.25">
      <c r="A40" s="30" t="s">
        <v>459</v>
      </c>
      <c r="B40" s="90"/>
      <c r="C40" s="658">
        <v>510774581.05999982</v>
      </c>
      <c r="D40" s="366">
        <v>310148369.88999999</v>
      </c>
      <c r="E40" s="331">
        <f>G40</f>
        <v>272466860.55000001</v>
      </c>
      <c r="F40" s="420"/>
      <c r="G40" s="420">
        <f>239718494.47+32748366.08</f>
        <v>272466860.55000001</v>
      </c>
      <c r="H40" s="34">
        <f>IF(E40=0, D40, E40)</f>
        <v>272466860.55000001</v>
      </c>
      <c r="I40" s="397"/>
      <c r="J40" s="397"/>
      <c r="K40" s="78">
        <f>G40</f>
        <v>272466860.55000001</v>
      </c>
      <c r="N40" s="33"/>
    </row>
    <row r="41" spans="1:14" ht="12.75" customHeight="1" x14ac:dyDescent="0.25">
      <c r="A41" s="421" t="s">
        <v>40</v>
      </c>
      <c r="B41" s="72"/>
      <c r="C41" s="422">
        <f t="shared" ref="C41:H41" si="9">C39+C40</f>
        <v>272466860.54999995</v>
      </c>
      <c r="D41" s="361">
        <f t="shared" si="9"/>
        <v>505852550.83999979</v>
      </c>
      <c r="E41" s="362">
        <f t="shared" si="9"/>
        <v>147423882.53000098</v>
      </c>
      <c r="F41" s="362">
        <f t="shared" si="9"/>
        <v>-58738737.18999996</v>
      </c>
      <c r="G41" s="362">
        <f t="shared" si="9"/>
        <v>554189295.71000075</v>
      </c>
      <c r="H41" s="362">
        <f t="shared" si="9"/>
        <v>224768823.02000016</v>
      </c>
      <c r="I41" s="423"/>
      <c r="J41" s="423"/>
      <c r="K41" s="424">
        <f>K39+K40</f>
        <v>147423882.53000098</v>
      </c>
    </row>
    <row r="42" spans="1:14" ht="11.25" customHeight="1" x14ac:dyDescent="0.25">
      <c r="A42" s="64" t="s">
        <v>595</v>
      </c>
      <c r="C42" s="316"/>
      <c r="D42" s="316"/>
      <c r="E42" s="316"/>
      <c r="F42" s="316"/>
      <c r="G42" s="316"/>
      <c r="H42" s="316"/>
      <c r="I42" s="316"/>
      <c r="J42" s="316"/>
      <c r="K42" s="316"/>
    </row>
    <row r="43" spans="1:14" ht="11.25" customHeight="1" x14ac:dyDescent="0.25">
      <c r="A43" s="73" t="s">
        <v>127</v>
      </c>
      <c r="C43" s="316"/>
      <c r="D43" s="316"/>
      <c r="E43" s="316"/>
      <c r="F43" s="316"/>
      <c r="G43" s="316"/>
      <c r="H43" s="316"/>
      <c r="I43" s="316"/>
      <c r="J43" s="316"/>
      <c r="K43" s="316"/>
    </row>
    <row r="44" spans="1:14" ht="11.25" customHeight="1" x14ac:dyDescent="0.25">
      <c r="C44" s="316"/>
      <c r="D44" s="316"/>
      <c r="E44" s="316"/>
      <c r="F44" s="316"/>
      <c r="G44" s="316"/>
      <c r="H44" s="316"/>
      <c r="I44" s="316"/>
      <c r="J44" s="316"/>
      <c r="K44" s="316"/>
    </row>
    <row r="45" spans="1:14" ht="11.25" customHeight="1" x14ac:dyDescent="0.25">
      <c r="A45" s="73"/>
      <c r="C45" s="316"/>
      <c r="D45" s="316"/>
      <c r="E45" s="316"/>
      <c r="F45" s="316"/>
      <c r="G45" s="316"/>
      <c r="H45" s="316"/>
      <c r="I45" s="316"/>
      <c r="J45" s="316"/>
      <c r="K45" s="316"/>
    </row>
    <row r="46" spans="1:14" ht="11.25" customHeight="1" x14ac:dyDescent="0.25">
      <c r="A46" s="56"/>
      <c r="B46" s="44"/>
      <c r="C46" s="404"/>
      <c r="D46" s="404"/>
      <c r="E46" s="404"/>
      <c r="F46" s="404"/>
      <c r="G46" s="404"/>
      <c r="H46" s="404"/>
      <c r="I46" s="404"/>
      <c r="J46" s="404"/>
      <c r="K46" s="404"/>
    </row>
    <row r="47" spans="1:14" ht="11.25" customHeight="1" x14ac:dyDescent="0.25">
      <c r="C47" s="751"/>
    </row>
    <row r="48" spans="1:14"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43307086614173229"/>
  <pageSetup paperSize="8" scale="135" orientation="landscape" r:id="rId1"/>
  <headerFooter alignWithMargins="0">
    <oddFooter>&amp;L&amp;F&amp;C&amp;A&amp;R&amp;D</oddFooter>
  </headerFooter>
  <customProperties>
    <customPr name="_pios_id" r:id="rId2"/>
  </customProperties>
  <ignoredErrors>
    <ignoredError sqref="C8:D8 C12:D12 D17 G8:H8 G12:H12 F17 H17 K8 K12 K17 D22 G22 K22"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P46"/>
  <sheetViews>
    <sheetView workbookViewId="0"/>
  </sheetViews>
  <sheetFormatPr defaultRowHeight="12.75" x14ac:dyDescent="0.2"/>
  <cols>
    <col min="1" max="1" width="46.7109375" customWidth="1"/>
    <col min="2" max="2" width="13.140625" customWidth="1"/>
    <col min="3" max="3" width="14.28515625" customWidth="1"/>
    <col min="4" max="5" width="12" customWidth="1"/>
    <col min="6" max="7" width="15.7109375" customWidth="1"/>
    <col min="8" max="8" width="13.140625" customWidth="1"/>
    <col min="9" max="9" width="14.28515625" bestFit="1" customWidth="1"/>
    <col min="10" max="10" width="13.5703125" bestFit="1" customWidth="1"/>
    <col min="13" max="13" width="50.7109375" customWidth="1"/>
    <col min="14" max="14" width="15.28515625" customWidth="1"/>
    <col min="15" max="15" width="13.7109375" customWidth="1"/>
    <col min="16" max="16" width="15.28515625" customWidth="1"/>
  </cols>
  <sheetData>
    <row r="1" spans="1:16" x14ac:dyDescent="0.2">
      <c r="A1" s="635" t="s">
        <v>2084</v>
      </c>
      <c r="G1" s="635"/>
      <c r="M1" s="635" t="s">
        <v>1760</v>
      </c>
    </row>
    <row r="2" spans="1:16" ht="25.5" x14ac:dyDescent="0.2">
      <c r="A2" s="630" t="s">
        <v>1661</v>
      </c>
      <c r="B2" s="630" t="s">
        <v>1791</v>
      </c>
      <c r="C2" s="630" t="s">
        <v>773</v>
      </c>
      <c r="D2" s="630" t="s">
        <v>2085</v>
      </c>
      <c r="E2" s="804" t="s">
        <v>2086</v>
      </c>
      <c r="F2" s="630" t="s">
        <v>2088</v>
      </c>
      <c r="G2" s="630" t="s">
        <v>2089</v>
      </c>
      <c r="M2" s="659" t="s">
        <v>973</v>
      </c>
      <c r="N2" s="660" t="s">
        <v>471</v>
      </c>
      <c r="O2" s="660" t="s">
        <v>695</v>
      </c>
      <c r="P2" s="660" t="s">
        <v>663</v>
      </c>
    </row>
    <row r="3" spans="1:16" x14ac:dyDescent="0.2">
      <c r="A3" s="630" t="s">
        <v>857</v>
      </c>
      <c r="M3" s="659" t="s">
        <v>1661</v>
      </c>
      <c r="N3" s="661" t="s">
        <v>1637</v>
      </c>
      <c r="O3" s="661" t="s">
        <v>1637</v>
      </c>
      <c r="P3" s="661" t="s">
        <v>1637</v>
      </c>
    </row>
    <row r="4" spans="1:16" x14ac:dyDescent="0.2">
      <c r="A4" s="630" t="s">
        <v>856</v>
      </c>
      <c r="B4">
        <v>754885661.89999998</v>
      </c>
      <c r="C4">
        <v>734111943.5</v>
      </c>
      <c r="D4">
        <v>610366909.88999999</v>
      </c>
      <c r="E4">
        <v>734111943.5</v>
      </c>
      <c r="F4">
        <v>792629622.89999998</v>
      </c>
      <c r="G4">
        <v>832260912.89999998</v>
      </c>
      <c r="M4" s="639" t="s">
        <v>857</v>
      </c>
      <c r="N4" s="650"/>
      <c r="O4" s="650"/>
      <c r="P4" s="650"/>
    </row>
    <row r="5" spans="1:16" x14ac:dyDescent="0.2">
      <c r="A5" s="630" t="s">
        <v>1662</v>
      </c>
      <c r="B5">
        <v>2719548556.8000002</v>
      </c>
      <c r="C5">
        <v>2565688944.7600002</v>
      </c>
      <c r="D5">
        <v>2070379415.47</v>
      </c>
      <c r="E5">
        <v>2565688944.7600002</v>
      </c>
      <c r="F5">
        <v>2959306927.8000002</v>
      </c>
      <c r="G5">
        <v>3222685313.25</v>
      </c>
      <c r="M5" s="656" t="s">
        <v>856</v>
      </c>
      <c r="N5" s="650">
        <v>608930759.97000003</v>
      </c>
      <c r="O5" s="650">
        <v>49443840.009999998</v>
      </c>
      <c r="P5" s="650">
        <v>518602408.25</v>
      </c>
    </row>
    <row r="6" spans="1:16" x14ac:dyDescent="0.2">
      <c r="A6" s="630" t="s">
        <v>1663</v>
      </c>
      <c r="B6">
        <v>688223250</v>
      </c>
      <c r="C6">
        <v>628744729.5</v>
      </c>
      <c r="D6">
        <v>511992025.54000002</v>
      </c>
      <c r="E6">
        <v>628744729.5</v>
      </c>
      <c r="F6">
        <v>724010859</v>
      </c>
      <c r="G6">
        <v>761659398</v>
      </c>
      <c r="M6" s="656" t="s">
        <v>1662</v>
      </c>
      <c r="N6" s="650">
        <v>2028940898.02</v>
      </c>
      <c r="O6" s="650">
        <v>189840280.69999999</v>
      </c>
      <c r="P6" s="650">
        <v>2001134213.51</v>
      </c>
    </row>
    <row r="7" spans="1:16" x14ac:dyDescent="0.2">
      <c r="A7" s="630" t="s">
        <v>1664</v>
      </c>
      <c r="B7">
        <v>141475171.19999999</v>
      </c>
      <c r="C7">
        <v>144517648.02000001</v>
      </c>
      <c r="D7">
        <v>122770963.41</v>
      </c>
      <c r="E7">
        <v>144517648.02000001</v>
      </c>
      <c r="F7">
        <v>148549165.05000001</v>
      </c>
      <c r="G7">
        <v>155976735.59999999</v>
      </c>
      <c r="M7" s="656" t="s">
        <v>1663</v>
      </c>
      <c r="N7" s="650">
        <v>496035667.10000002</v>
      </c>
      <c r="O7" s="650">
        <v>40252078.399999999</v>
      </c>
      <c r="P7" s="650">
        <v>399423248.64999998</v>
      </c>
    </row>
    <row r="8" spans="1:16" x14ac:dyDescent="0.2">
      <c r="A8" s="630" t="s">
        <v>1665</v>
      </c>
      <c r="B8">
        <v>128769832.05</v>
      </c>
      <c r="C8">
        <v>131539075.76000001</v>
      </c>
      <c r="D8">
        <v>69473900.239999995</v>
      </c>
      <c r="E8">
        <v>131539075.76000001</v>
      </c>
      <c r="F8">
        <v>135208435.94999999</v>
      </c>
      <c r="G8">
        <v>141968745.44999999</v>
      </c>
      <c r="M8" s="656" t="s">
        <v>1664</v>
      </c>
      <c r="N8" s="650">
        <v>117440900.69</v>
      </c>
      <c r="O8" s="650">
        <v>9974232.7100000009</v>
      </c>
      <c r="P8" s="650">
        <v>104607861.64</v>
      </c>
    </row>
    <row r="9" spans="1:16" x14ac:dyDescent="0.2">
      <c r="A9" s="630" t="s">
        <v>888</v>
      </c>
      <c r="B9">
        <v>24860873.149999999</v>
      </c>
      <c r="C9">
        <v>18985792.280000001</v>
      </c>
      <c r="D9">
        <v>20796289.829999998</v>
      </c>
      <c r="E9">
        <v>18985792.280000001</v>
      </c>
      <c r="F9">
        <v>26104025.399999999</v>
      </c>
      <c r="G9">
        <v>27409358.199999999</v>
      </c>
      <c r="M9" s="656" t="s">
        <v>1665</v>
      </c>
      <c r="N9" s="650">
        <v>48666184.960000001</v>
      </c>
      <c r="O9" s="650">
        <v>3146216.06</v>
      </c>
      <c r="P9" s="650">
        <v>39376813.649999999</v>
      </c>
    </row>
    <row r="10" spans="1:16" x14ac:dyDescent="0.2">
      <c r="A10" s="630" t="s">
        <v>1350</v>
      </c>
      <c r="B10">
        <v>45000000</v>
      </c>
      <c r="C10">
        <v>45000000</v>
      </c>
      <c r="D10">
        <v>32073672.690000001</v>
      </c>
      <c r="E10">
        <v>45000000</v>
      </c>
      <c r="F10">
        <v>50000000</v>
      </c>
      <c r="G10">
        <v>55000000</v>
      </c>
      <c r="M10" s="656" t="s">
        <v>888</v>
      </c>
      <c r="N10" s="650">
        <v>17496270.25</v>
      </c>
      <c r="O10" s="650">
        <v>724370.5</v>
      </c>
      <c r="P10" s="650">
        <v>30635144.539999999</v>
      </c>
    </row>
    <row r="11" spans="1:16" x14ac:dyDescent="0.2">
      <c r="A11" s="630" t="s">
        <v>1351</v>
      </c>
      <c r="B11">
        <v>27342</v>
      </c>
      <c r="C11">
        <v>26460</v>
      </c>
      <c r="D11">
        <v>1918.39</v>
      </c>
      <c r="E11">
        <v>26460</v>
      </c>
      <c r="F11">
        <v>28737</v>
      </c>
      <c r="G11">
        <v>30132</v>
      </c>
      <c r="M11" s="656" t="s">
        <v>1350</v>
      </c>
      <c r="N11" s="650">
        <v>25288263.539999999</v>
      </c>
      <c r="O11" s="650">
        <v>3102439.02</v>
      </c>
      <c r="P11" s="650">
        <v>20030198.859999999</v>
      </c>
    </row>
    <row r="12" spans="1:16" x14ac:dyDescent="0.2">
      <c r="A12" s="630" t="s">
        <v>1352</v>
      </c>
      <c r="M12" s="656" t="s">
        <v>1351</v>
      </c>
      <c r="N12" s="650">
        <v>644932.6</v>
      </c>
      <c r="O12" s="650">
        <v>68838.86</v>
      </c>
      <c r="P12" s="650">
        <v>916516.95</v>
      </c>
    </row>
    <row r="13" spans="1:16" x14ac:dyDescent="0.2">
      <c r="A13" s="630" t="s">
        <v>1023</v>
      </c>
      <c r="B13">
        <v>1842540</v>
      </c>
      <c r="C13">
        <v>797714.98</v>
      </c>
      <c r="D13">
        <v>707044.56</v>
      </c>
      <c r="E13">
        <v>797714.98</v>
      </c>
      <c r="F13">
        <v>1842525</v>
      </c>
      <c r="G13">
        <v>1842525</v>
      </c>
      <c r="M13" s="656" t="s">
        <v>1352</v>
      </c>
      <c r="N13" s="650"/>
      <c r="O13" s="650"/>
      <c r="P13" s="650"/>
    </row>
    <row r="14" spans="1:16" x14ac:dyDescent="0.2">
      <c r="A14" s="630" t="s">
        <v>1353</v>
      </c>
      <c r="M14" s="656" t="s">
        <v>1023</v>
      </c>
      <c r="N14" s="650">
        <v>2791276.97</v>
      </c>
      <c r="O14" s="650">
        <v>220605.4</v>
      </c>
      <c r="P14" s="650">
        <v>1885257.94</v>
      </c>
    </row>
    <row r="15" spans="1:16" x14ac:dyDescent="0.2">
      <c r="A15" s="630" t="s">
        <v>533</v>
      </c>
      <c r="B15">
        <v>13251220</v>
      </c>
      <c r="C15">
        <v>13251220</v>
      </c>
      <c r="D15">
        <v>11767448.49</v>
      </c>
      <c r="E15">
        <v>13251220</v>
      </c>
      <c r="F15">
        <v>13432820</v>
      </c>
      <c r="G15">
        <v>13623420</v>
      </c>
      <c r="M15" s="656" t="s">
        <v>1353</v>
      </c>
      <c r="N15" s="650"/>
      <c r="O15" s="650"/>
      <c r="P15" s="650">
        <v>0</v>
      </c>
    </row>
    <row r="16" spans="1:16" x14ac:dyDescent="0.2">
      <c r="A16" s="630" t="s">
        <v>1666</v>
      </c>
      <c r="B16">
        <v>587345000</v>
      </c>
      <c r="C16">
        <v>592697200</v>
      </c>
      <c r="D16">
        <v>594917902.48000002</v>
      </c>
      <c r="E16">
        <v>592697200</v>
      </c>
      <c r="F16">
        <v>613554600</v>
      </c>
      <c r="G16">
        <v>644094000</v>
      </c>
      <c r="M16" s="656" t="s">
        <v>533</v>
      </c>
      <c r="N16" s="650">
        <v>6318392.9199999999</v>
      </c>
      <c r="O16" s="650">
        <v>1920042.11</v>
      </c>
      <c r="P16" s="650">
        <v>7969258.7999999998</v>
      </c>
    </row>
    <row r="17" spans="1:16" x14ac:dyDescent="0.2">
      <c r="A17" s="630" t="s">
        <v>413</v>
      </c>
      <c r="B17">
        <v>29907818.850000001</v>
      </c>
      <c r="C17">
        <v>37555239.259999998</v>
      </c>
      <c r="D17">
        <v>32061544.390000001</v>
      </c>
      <c r="E17">
        <v>37555239.259999998</v>
      </c>
      <c r="F17">
        <v>30620426.699999999</v>
      </c>
      <c r="G17">
        <v>31328435.699999999</v>
      </c>
      <c r="M17" s="656" t="s">
        <v>1666</v>
      </c>
      <c r="N17" s="650">
        <v>530336758.54000002</v>
      </c>
      <c r="O17" s="650">
        <v>261390.68</v>
      </c>
      <c r="P17" s="650">
        <v>576564286.65999997</v>
      </c>
    </row>
    <row r="18" spans="1:16" x14ac:dyDescent="0.2">
      <c r="A18" s="630" t="s">
        <v>858</v>
      </c>
      <c r="B18">
        <v>5135137265.9499998</v>
      </c>
      <c r="C18">
        <v>4912915968.0600004</v>
      </c>
      <c r="D18">
        <v>4077309035.3800001</v>
      </c>
      <c r="E18">
        <v>4912915968.0600004</v>
      </c>
      <c r="F18">
        <v>5495288144.8000002</v>
      </c>
      <c r="G18">
        <v>5887878976.1000004</v>
      </c>
      <c r="M18" s="656" t="s">
        <v>413</v>
      </c>
      <c r="N18" s="650">
        <v>740808421.37</v>
      </c>
      <c r="O18" s="650">
        <v>66019245.340000004</v>
      </c>
      <c r="P18" s="650">
        <v>647336787.08000004</v>
      </c>
    </row>
    <row r="19" spans="1:16" x14ac:dyDescent="0.2">
      <c r="A19" s="630" t="s">
        <v>671</v>
      </c>
      <c r="M19" s="638" t="s">
        <v>858</v>
      </c>
      <c r="N19" s="650">
        <v>4623698726.9300003</v>
      </c>
      <c r="O19" s="650">
        <v>364973579.79000002</v>
      </c>
      <c r="P19" s="650">
        <v>4348481996.5299997</v>
      </c>
    </row>
    <row r="20" spans="1:16" x14ac:dyDescent="0.2">
      <c r="A20" s="630" t="s">
        <v>1302</v>
      </c>
      <c r="B20">
        <v>219003000</v>
      </c>
      <c r="C20">
        <v>227008100</v>
      </c>
      <c r="D20">
        <v>173963692.47999999</v>
      </c>
      <c r="E20">
        <v>227008100</v>
      </c>
      <c r="F20">
        <v>202524400</v>
      </c>
      <c r="G20">
        <v>227573000</v>
      </c>
      <c r="M20" s="639" t="s">
        <v>671</v>
      </c>
      <c r="N20" s="650"/>
      <c r="O20" s="650"/>
      <c r="P20" s="650"/>
    </row>
    <row r="21" spans="1:16" x14ac:dyDescent="0.2">
      <c r="A21" s="630" t="s">
        <v>1302</v>
      </c>
      <c r="M21" s="656" t="s">
        <v>1302</v>
      </c>
      <c r="N21" s="650">
        <v>242420000</v>
      </c>
      <c r="O21" s="650"/>
      <c r="P21" s="650">
        <v>204448000</v>
      </c>
    </row>
    <row r="22" spans="1:16" x14ac:dyDescent="0.2">
      <c r="A22" s="630" t="s">
        <v>1272</v>
      </c>
      <c r="M22" s="656" t="s">
        <v>1302</v>
      </c>
      <c r="N22" s="650"/>
      <c r="O22" s="650"/>
      <c r="P22" s="650"/>
    </row>
    <row r="23" spans="1:16" x14ac:dyDescent="0.2">
      <c r="A23" s="630" t="s">
        <v>831</v>
      </c>
      <c r="M23" s="656" t="s">
        <v>1272</v>
      </c>
      <c r="N23" s="650">
        <v>55710000</v>
      </c>
      <c r="O23" s="650"/>
      <c r="P23" s="650">
        <v>0</v>
      </c>
    </row>
    <row r="24" spans="1:16" x14ac:dyDescent="0.2">
      <c r="A24" s="630" t="s">
        <v>883</v>
      </c>
      <c r="B24">
        <v>380000000</v>
      </c>
      <c r="C24">
        <v>380000000</v>
      </c>
      <c r="D24">
        <v>200000000</v>
      </c>
      <c r="E24">
        <v>380000000</v>
      </c>
      <c r="F24">
        <v>360000000</v>
      </c>
      <c r="G24">
        <v>325000000</v>
      </c>
      <c r="M24" s="656" t="s">
        <v>831</v>
      </c>
      <c r="N24" s="650"/>
      <c r="O24" s="650"/>
      <c r="P24" s="650"/>
    </row>
    <row r="25" spans="1:16" x14ac:dyDescent="0.2">
      <c r="A25" s="630" t="s">
        <v>54</v>
      </c>
      <c r="M25" s="656" t="s">
        <v>883</v>
      </c>
      <c r="N25" s="650">
        <v>410000000</v>
      </c>
      <c r="O25" s="650">
        <v>0</v>
      </c>
      <c r="P25" s="650">
        <v>380000000</v>
      </c>
    </row>
    <row r="26" spans="1:16" x14ac:dyDescent="0.2">
      <c r="A26" s="630" t="s">
        <v>1269</v>
      </c>
      <c r="M26" s="656" t="s">
        <v>54</v>
      </c>
      <c r="N26" s="650">
        <v>3294418.01</v>
      </c>
      <c r="O26" s="650">
        <v>88021.5</v>
      </c>
      <c r="P26" s="650">
        <v>1148898.46</v>
      </c>
    </row>
    <row r="27" spans="1:16" x14ac:dyDescent="0.2">
      <c r="A27" s="630" t="s">
        <v>819</v>
      </c>
      <c r="M27" s="656" t="s">
        <v>1269</v>
      </c>
      <c r="N27" s="650"/>
      <c r="O27" s="650"/>
      <c r="P27" s="650"/>
    </row>
    <row r="28" spans="1:16" x14ac:dyDescent="0.2">
      <c r="A28" s="630" t="s">
        <v>846</v>
      </c>
      <c r="B28">
        <v>5734140265.9499998</v>
      </c>
      <c r="C28">
        <v>5519924068.0600004</v>
      </c>
      <c r="D28">
        <v>4451272727.8599997</v>
      </c>
      <c r="E28">
        <v>5519924068.0600004</v>
      </c>
      <c r="F28">
        <v>6057812544.8000002</v>
      </c>
      <c r="G28">
        <v>6440451976.1000004</v>
      </c>
      <c r="M28" s="656" t="s">
        <v>819</v>
      </c>
      <c r="N28" s="650"/>
      <c r="O28" s="650"/>
      <c r="P28" s="650"/>
    </row>
    <row r="29" spans="1:16" x14ac:dyDescent="0.2">
      <c r="A29" s="630" t="s">
        <v>859</v>
      </c>
      <c r="M29" s="638" t="s">
        <v>846</v>
      </c>
      <c r="N29" s="650">
        <v>5335123144.9399996</v>
      </c>
      <c r="O29" s="650">
        <v>365061601.29000002</v>
      </c>
      <c r="P29" s="650">
        <v>4934078894.9899998</v>
      </c>
    </row>
    <row r="30" spans="1:16" x14ac:dyDescent="0.2">
      <c r="A30" s="630" t="s">
        <v>776</v>
      </c>
      <c r="B30">
        <v>1184945710</v>
      </c>
      <c r="C30">
        <v>1118281335.3699999</v>
      </c>
      <c r="D30">
        <v>907590908.41999996</v>
      </c>
      <c r="E30">
        <v>1118281335.3699999</v>
      </c>
      <c r="F30">
        <v>1239756660</v>
      </c>
      <c r="G30">
        <v>1301418315</v>
      </c>
      <c r="M30" s="639" t="s">
        <v>859</v>
      </c>
      <c r="N30" s="650"/>
      <c r="O30" s="650"/>
      <c r="P30" s="650"/>
    </row>
    <row r="31" spans="1:16" x14ac:dyDescent="0.2">
      <c r="A31" s="630" t="s">
        <v>434</v>
      </c>
      <c r="B31">
        <v>62326800</v>
      </c>
      <c r="C31">
        <v>64625800</v>
      </c>
      <c r="D31">
        <v>51704800.07</v>
      </c>
      <c r="E31">
        <v>64625800</v>
      </c>
      <c r="F31">
        <v>65476200</v>
      </c>
      <c r="G31">
        <v>68787100</v>
      </c>
      <c r="M31" s="656" t="s">
        <v>776</v>
      </c>
      <c r="N31" s="650">
        <v>1117167656.3900001</v>
      </c>
      <c r="O31" s="650">
        <v>92613646.269999996</v>
      </c>
      <c r="P31" s="650">
        <v>947730925.75999999</v>
      </c>
    </row>
    <row r="32" spans="1:16" x14ac:dyDescent="0.2">
      <c r="A32" s="630" t="s">
        <v>1667</v>
      </c>
      <c r="B32">
        <v>178823500</v>
      </c>
      <c r="C32">
        <v>184846100</v>
      </c>
      <c r="D32">
        <v>153636465.36000001</v>
      </c>
      <c r="E32">
        <v>184846100</v>
      </c>
      <c r="F32">
        <v>199420000</v>
      </c>
      <c r="G32">
        <v>214615700</v>
      </c>
      <c r="M32" s="656" t="s">
        <v>434</v>
      </c>
      <c r="N32" s="650"/>
      <c r="O32" s="650"/>
      <c r="P32" s="650">
        <v>30</v>
      </c>
    </row>
    <row r="33" spans="1:16" x14ac:dyDescent="0.2">
      <c r="A33" s="630" t="s">
        <v>845</v>
      </c>
      <c r="B33">
        <v>2072335535</v>
      </c>
      <c r="C33">
        <v>2072335534.99</v>
      </c>
      <c r="D33">
        <v>1708887594.54</v>
      </c>
      <c r="E33">
        <v>2072335534.99</v>
      </c>
      <c r="F33">
        <v>2256773340</v>
      </c>
      <c r="G33">
        <v>2457626245</v>
      </c>
      <c r="M33" s="656" t="s">
        <v>1667</v>
      </c>
      <c r="N33" s="650">
        <v>164382679.91999999</v>
      </c>
      <c r="O33" s="650"/>
      <c r="P33" s="650">
        <v>94957175.890000001</v>
      </c>
    </row>
    <row r="34" spans="1:16" x14ac:dyDescent="0.2">
      <c r="A34" s="630" t="s">
        <v>1277</v>
      </c>
      <c r="B34">
        <v>113545200</v>
      </c>
      <c r="C34">
        <v>113545200</v>
      </c>
      <c r="D34">
        <v>135453048.88999999</v>
      </c>
      <c r="E34">
        <v>113545200</v>
      </c>
      <c r="F34">
        <v>118881700</v>
      </c>
      <c r="G34">
        <v>124469100</v>
      </c>
      <c r="M34" s="656" t="s">
        <v>845</v>
      </c>
      <c r="N34" s="650">
        <v>1751964599.76</v>
      </c>
      <c r="O34" s="650">
        <v>163035927.69999999</v>
      </c>
      <c r="P34" s="650">
        <v>1746348657.5</v>
      </c>
    </row>
    <row r="35" spans="1:16" x14ac:dyDescent="0.2">
      <c r="A35" s="630" t="s">
        <v>1668</v>
      </c>
      <c r="B35">
        <v>208406220</v>
      </c>
      <c r="C35">
        <v>199997995.16999999</v>
      </c>
      <c r="D35">
        <v>150802000.62</v>
      </c>
      <c r="E35">
        <v>199997995.16999999</v>
      </c>
      <c r="F35">
        <v>219129050</v>
      </c>
      <c r="G35">
        <v>229572315</v>
      </c>
      <c r="M35" s="656" t="s">
        <v>1277</v>
      </c>
      <c r="N35" s="650">
        <v>260222316.44</v>
      </c>
      <c r="O35" s="650">
        <v>24177019.91</v>
      </c>
      <c r="P35" s="650">
        <v>245612917.24000001</v>
      </c>
    </row>
    <row r="36" spans="1:16" x14ac:dyDescent="0.2">
      <c r="A36" s="630" t="s">
        <v>1669</v>
      </c>
      <c r="B36">
        <v>553502590</v>
      </c>
      <c r="C36">
        <v>677471210.25</v>
      </c>
      <c r="D36">
        <v>499063048.73000002</v>
      </c>
      <c r="E36">
        <v>677471210.25</v>
      </c>
      <c r="F36">
        <v>536001085</v>
      </c>
      <c r="G36">
        <v>579822755</v>
      </c>
      <c r="M36" s="656" t="s">
        <v>1668</v>
      </c>
      <c r="N36" s="650"/>
      <c r="O36" s="650"/>
      <c r="P36" s="650"/>
    </row>
    <row r="37" spans="1:16" x14ac:dyDescent="0.2">
      <c r="A37" s="630" t="s">
        <v>1670</v>
      </c>
      <c r="M37" s="656" t="s">
        <v>1669</v>
      </c>
      <c r="N37" s="650"/>
      <c r="O37" s="650"/>
      <c r="P37" s="650"/>
    </row>
    <row r="38" spans="1:16" x14ac:dyDescent="0.2">
      <c r="A38" s="630" t="s">
        <v>1671</v>
      </c>
      <c r="B38">
        <v>7582000</v>
      </c>
      <c r="C38">
        <v>6432000</v>
      </c>
      <c r="D38">
        <v>2937891.1</v>
      </c>
      <c r="E38">
        <v>6432000</v>
      </c>
      <c r="F38">
        <v>7938400</v>
      </c>
      <c r="G38">
        <v>8311300</v>
      </c>
      <c r="M38" s="656" t="s">
        <v>1670</v>
      </c>
      <c r="N38" s="650"/>
      <c r="O38" s="650"/>
      <c r="P38" s="650"/>
    </row>
    <row r="39" spans="1:16" x14ac:dyDescent="0.2">
      <c r="A39" s="630" t="s">
        <v>395</v>
      </c>
      <c r="B39">
        <v>272544530</v>
      </c>
      <c r="C39">
        <v>293207390.24000001</v>
      </c>
      <c r="D39">
        <v>226014983.06</v>
      </c>
      <c r="E39">
        <v>293207390.24000001</v>
      </c>
      <c r="F39">
        <v>283053105</v>
      </c>
      <c r="G39">
        <v>296728800</v>
      </c>
      <c r="M39" s="656" t="s">
        <v>1671</v>
      </c>
      <c r="N39" s="650"/>
      <c r="O39" s="650"/>
      <c r="P39" s="650"/>
    </row>
    <row r="40" spans="1:16" x14ac:dyDescent="0.2">
      <c r="A40" s="630" t="s">
        <v>859</v>
      </c>
      <c r="B40">
        <v>4654012085</v>
      </c>
      <c r="C40">
        <v>4730742566.0200005</v>
      </c>
      <c r="D40">
        <v>3836090740.79</v>
      </c>
      <c r="E40">
        <v>4730742566.0200005</v>
      </c>
      <c r="F40">
        <v>4926429540</v>
      </c>
      <c r="G40">
        <v>5281351630</v>
      </c>
      <c r="M40" s="656" t="s">
        <v>395</v>
      </c>
      <c r="N40" s="650">
        <v>1185894670.1199999</v>
      </c>
      <c r="O40" s="650">
        <v>94830231.829999998</v>
      </c>
      <c r="P40" s="650">
        <v>1010993968.71</v>
      </c>
    </row>
    <row r="41" spans="1:16" x14ac:dyDescent="0.2">
      <c r="A41" s="630" t="s">
        <v>616</v>
      </c>
      <c r="M41" s="638" t="s">
        <v>859</v>
      </c>
      <c r="N41" s="650">
        <v>4479631922.6300001</v>
      </c>
      <c r="O41" s="650">
        <v>374656825.70999998</v>
      </c>
      <c r="P41" s="650">
        <v>4045643675.0999999</v>
      </c>
    </row>
    <row r="42" spans="1:16" x14ac:dyDescent="0.2">
      <c r="A42" s="630" t="s">
        <v>645</v>
      </c>
      <c r="B42">
        <v>702643100</v>
      </c>
      <c r="C42">
        <v>721975980.05999994</v>
      </c>
      <c r="D42">
        <v>569532824.60000002</v>
      </c>
      <c r="E42">
        <v>721975980.05999994</v>
      </c>
      <c r="F42">
        <v>710153060</v>
      </c>
      <c r="G42">
        <v>658458950</v>
      </c>
      <c r="M42" s="639" t="s">
        <v>616</v>
      </c>
      <c r="N42" s="650"/>
      <c r="O42" s="650"/>
      <c r="P42" s="650"/>
    </row>
    <row r="43" spans="1:16" x14ac:dyDescent="0.2">
      <c r="A43" s="630" t="s">
        <v>830</v>
      </c>
      <c r="B43">
        <v>181780900</v>
      </c>
      <c r="C43">
        <v>192248500</v>
      </c>
      <c r="D43">
        <v>93347200</v>
      </c>
      <c r="E43">
        <v>192248500</v>
      </c>
      <c r="F43">
        <v>222141900</v>
      </c>
      <c r="G43">
        <v>203118200</v>
      </c>
      <c r="M43" s="656" t="s">
        <v>645</v>
      </c>
      <c r="N43" s="650">
        <v>914510516.59000003</v>
      </c>
      <c r="O43" s="650">
        <v>48967469.770000003</v>
      </c>
      <c r="P43" s="650">
        <v>508003098.42000002</v>
      </c>
    </row>
    <row r="44" spans="1:16" x14ac:dyDescent="0.2">
      <c r="A44" s="630" t="s">
        <v>2</v>
      </c>
      <c r="M44" s="656" t="s">
        <v>830</v>
      </c>
      <c r="N44" s="650">
        <v>172699590.21000001</v>
      </c>
      <c r="O44" s="650"/>
      <c r="P44" s="650">
        <v>96411889.390000001</v>
      </c>
    </row>
    <row r="45" spans="1:16" x14ac:dyDescent="0.2">
      <c r="A45" s="630" t="s">
        <v>847</v>
      </c>
      <c r="B45">
        <v>4133149885</v>
      </c>
      <c r="C45">
        <v>4201015085.96</v>
      </c>
      <c r="D45">
        <v>3359905116.1900001</v>
      </c>
      <c r="E45">
        <v>4201015085.96</v>
      </c>
      <c r="F45">
        <v>4438418380</v>
      </c>
      <c r="G45">
        <v>4826010880</v>
      </c>
      <c r="M45" s="656" t="s">
        <v>2</v>
      </c>
      <c r="N45" s="650"/>
      <c r="O45" s="650"/>
      <c r="P45" s="650"/>
    </row>
    <row r="46" spans="1:16" x14ac:dyDescent="0.2">
      <c r="M46" s="638" t="s">
        <v>847</v>
      </c>
      <c r="N46" s="650">
        <v>3737820996.25</v>
      </c>
      <c r="O46" s="650">
        <v>325689355.94</v>
      </c>
      <c r="P46" s="650">
        <v>3634052466.0700002</v>
      </c>
    </row>
  </sheetData>
  <pageMargins left="0.7" right="0.7" top="0.75" bottom="0.75" header="0.3" footer="0.3"/>
  <customProperties>
    <customPr name="_pios_id" r:id="rId1"/>
    <customPr name="CofWorksheetType"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E47"/>
  <sheetViews>
    <sheetView showGridLines="0" zoomScaleNormal="100" workbookViewId="0">
      <pane xSplit="2" ySplit="4" topLeftCell="C5" activePane="bottomRight" state="frozen"/>
      <selection pane="topRight"/>
      <selection pane="bottomLeft"/>
      <selection pane="bottomRight" sqref="A1:E1"/>
    </sheetView>
  </sheetViews>
  <sheetFormatPr defaultColWidth="9.28515625" defaultRowHeight="12.75" x14ac:dyDescent="0.25"/>
  <cols>
    <col min="1" max="1" width="4" style="47" customWidth="1"/>
    <col min="2" max="2" width="25.7109375" style="21" customWidth="1"/>
    <col min="3" max="3" width="8.7109375" style="21" customWidth="1"/>
    <col min="4" max="5" width="35.7109375" style="21" customWidth="1"/>
    <col min="6" max="16384" width="9.28515625" style="21"/>
  </cols>
  <sheetData>
    <row r="1" spans="1:5" ht="13.5" x14ac:dyDescent="0.25">
      <c r="A1" s="848" t="str">
        <f>muni&amp; " - "&amp;S71G&amp; " - "&amp;date</f>
        <v>KZN282 uMhlathuze - Supporting Table SC1 Material variance explanations  - M10 April</v>
      </c>
      <c r="B1" s="848"/>
      <c r="C1" s="848"/>
      <c r="D1" s="848"/>
      <c r="E1" s="848"/>
    </row>
    <row r="2" spans="1:5" x14ac:dyDescent="0.25">
      <c r="A2" s="830" t="str">
        <f>head27</f>
        <v>Ref</v>
      </c>
      <c r="B2" s="837" t="str">
        <f>desc</f>
        <v>Description</v>
      </c>
      <c r="C2" s="425"/>
      <c r="D2" s="425"/>
      <c r="E2" s="426"/>
    </row>
    <row r="3" spans="1:5" x14ac:dyDescent="0.25">
      <c r="A3" s="841"/>
      <c r="B3" s="838"/>
      <c r="C3" s="84" t="s">
        <v>399</v>
      </c>
      <c r="D3" s="84" t="s">
        <v>451</v>
      </c>
      <c r="E3" s="23" t="s">
        <v>452</v>
      </c>
    </row>
    <row r="4" spans="1:5" x14ac:dyDescent="0.25">
      <c r="A4" s="72"/>
      <c r="B4" s="28" t="s">
        <v>615</v>
      </c>
      <c r="C4" s="93"/>
      <c r="D4" s="82"/>
      <c r="E4" s="427"/>
    </row>
    <row r="5" spans="1:5" ht="11.25" customHeight="1" x14ac:dyDescent="0.25">
      <c r="A5" s="410">
        <v>1</v>
      </c>
      <c r="B5" s="91" t="str">
        <f>'C4-FinPerf RE'!A5</f>
        <v>Revenue</v>
      </c>
      <c r="C5" s="428"/>
      <c r="D5" s="428"/>
      <c r="E5" s="428"/>
    </row>
    <row r="6" spans="1:5" ht="11.25" customHeight="1" x14ac:dyDescent="0.25">
      <c r="A6" s="90"/>
      <c r="B6" s="429"/>
      <c r="C6" s="379"/>
      <c r="D6" s="429"/>
      <c r="E6" s="429"/>
    </row>
    <row r="7" spans="1:5" ht="11.25" customHeight="1" x14ac:dyDescent="0.25">
      <c r="A7" s="90"/>
      <c r="B7" s="429"/>
      <c r="C7" s="379"/>
      <c r="D7" s="429"/>
      <c r="E7" s="429"/>
    </row>
    <row r="8" spans="1:5" ht="11.25" customHeight="1" x14ac:dyDescent="0.25">
      <c r="A8" s="90"/>
      <c r="B8" s="429"/>
      <c r="C8" s="379"/>
      <c r="D8" s="429"/>
      <c r="E8" s="429"/>
    </row>
    <row r="9" spans="1:5" ht="11.25" customHeight="1" x14ac:dyDescent="0.25">
      <c r="A9" s="90"/>
      <c r="B9" s="429"/>
      <c r="C9" s="379"/>
      <c r="D9" s="429"/>
      <c r="E9" s="429"/>
    </row>
    <row r="10" spans="1:5" ht="11.25" customHeight="1" x14ac:dyDescent="0.25">
      <c r="A10" s="90">
        <v>2</v>
      </c>
      <c r="B10" s="290" t="str">
        <f>'C4-FinPerf RE'!A34</f>
        <v>Expenditure By Type</v>
      </c>
      <c r="C10" s="88"/>
      <c r="D10" s="88"/>
      <c r="E10" s="88"/>
    </row>
    <row r="11" spans="1:5" ht="11.25" customHeight="1" x14ac:dyDescent="0.25">
      <c r="A11" s="90"/>
      <c r="B11" s="429"/>
      <c r="C11" s="379"/>
      <c r="D11" s="429"/>
      <c r="E11" s="429"/>
    </row>
    <row r="12" spans="1:5" ht="11.25" customHeight="1" x14ac:dyDescent="0.25">
      <c r="A12" s="90"/>
      <c r="B12" s="429"/>
      <c r="C12" s="379"/>
      <c r="D12" s="429"/>
      <c r="E12" s="429"/>
    </row>
    <row r="13" spans="1:5" ht="11.25" customHeight="1" x14ac:dyDescent="0.25">
      <c r="A13" s="90"/>
      <c r="B13" s="429"/>
      <c r="C13" s="379"/>
      <c r="D13" s="429"/>
      <c r="E13" s="429"/>
    </row>
    <row r="14" spans="1:5" ht="11.25" customHeight="1" x14ac:dyDescent="0.25">
      <c r="A14" s="90"/>
      <c r="B14" s="429"/>
      <c r="C14" s="379"/>
      <c r="D14" s="429"/>
      <c r="E14" s="429"/>
    </row>
    <row r="15" spans="1:5" ht="11.25" customHeight="1" x14ac:dyDescent="0.25">
      <c r="A15" s="90">
        <v>3</v>
      </c>
      <c r="B15" s="290" t="str">
        <f>RIGHT('C5-Capex'!A40,19)</f>
        <v>Capital Expenditure</v>
      </c>
      <c r="C15" s="88"/>
      <c r="D15" s="88"/>
      <c r="E15" s="88"/>
    </row>
    <row r="16" spans="1:5" ht="11.25" customHeight="1" x14ac:dyDescent="0.25">
      <c r="A16" s="90"/>
      <c r="B16" s="429"/>
      <c r="C16" s="379"/>
      <c r="D16" s="429"/>
      <c r="E16" s="429"/>
    </row>
    <row r="17" spans="1:5" ht="11.25" customHeight="1" x14ac:dyDescent="0.25">
      <c r="A17" s="90"/>
      <c r="B17" s="429"/>
      <c r="C17" s="379"/>
      <c r="D17" s="429"/>
      <c r="E17" s="429"/>
    </row>
    <row r="18" spans="1:5" ht="11.25" customHeight="1" x14ac:dyDescent="0.25">
      <c r="A18" s="90"/>
      <c r="B18" s="429"/>
      <c r="C18" s="379"/>
      <c r="D18" s="429"/>
      <c r="E18" s="429"/>
    </row>
    <row r="19" spans="1:5" ht="11.25" customHeight="1" x14ac:dyDescent="0.25">
      <c r="A19" s="90"/>
      <c r="B19" s="429"/>
      <c r="C19" s="379"/>
      <c r="D19" s="429"/>
      <c r="E19" s="429"/>
    </row>
    <row r="20" spans="1:5" ht="11.25" customHeight="1" x14ac:dyDescent="0.25">
      <c r="A20" s="90">
        <v>4</v>
      </c>
      <c r="B20" s="290" t="s">
        <v>62</v>
      </c>
      <c r="C20" s="88"/>
      <c r="D20" s="88"/>
      <c r="E20" s="88"/>
    </row>
    <row r="21" spans="1:5" ht="11.25" customHeight="1" x14ac:dyDescent="0.25">
      <c r="A21" s="90"/>
      <c r="B21" s="429"/>
      <c r="C21" s="379"/>
      <c r="D21" s="429"/>
      <c r="E21" s="429"/>
    </row>
    <row r="22" spans="1:5" ht="11.25" customHeight="1" x14ac:dyDescent="0.25">
      <c r="A22" s="90"/>
      <c r="B22" s="429"/>
      <c r="C22" s="379"/>
      <c r="D22" s="429"/>
      <c r="E22" s="429"/>
    </row>
    <row r="23" spans="1:5" ht="11.25" customHeight="1" x14ac:dyDescent="0.25">
      <c r="A23" s="90"/>
      <c r="B23" s="429"/>
      <c r="C23" s="379"/>
      <c r="D23" s="429"/>
      <c r="E23" s="429"/>
    </row>
    <row r="24" spans="1:5" ht="11.25" customHeight="1" x14ac:dyDescent="0.25">
      <c r="A24" s="90"/>
      <c r="B24" s="429"/>
      <c r="C24" s="379"/>
      <c r="D24" s="429"/>
      <c r="E24" s="429"/>
    </row>
    <row r="25" spans="1:5" ht="11.25" customHeight="1" x14ac:dyDescent="0.25">
      <c r="A25" s="90">
        <v>5</v>
      </c>
      <c r="B25" s="290" t="s">
        <v>63</v>
      </c>
      <c r="C25" s="88"/>
      <c r="D25" s="88"/>
      <c r="E25" s="88"/>
    </row>
    <row r="26" spans="1:5" ht="11.25" customHeight="1" x14ac:dyDescent="0.25">
      <c r="A26" s="90"/>
      <c r="B26" s="429"/>
      <c r="C26" s="379"/>
      <c r="D26" s="429"/>
      <c r="E26" s="429"/>
    </row>
    <row r="27" spans="1:5" ht="11.25" customHeight="1" x14ac:dyDescent="0.25">
      <c r="A27" s="90"/>
      <c r="B27" s="429"/>
      <c r="C27" s="379"/>
      <c r="D27" s="429"/>
      <c r="E27" s="429"/>
    </row>
    <row r="28" spans="1:5" ht="11.25" customHeight="1" x14ac:dyDescent="0.25">
      <c r="A28" s="90"/>
      <c r="B28" s="429"/>
      <c r="C28" s="379"/>
      <c r="D28" s="429"/>
      <c r="E28" s="429"/>
    </row>
    <row r="29" spans="1:5" ht="11.25" customHeight="1" x14ac:dyDescent="0.25">
      <c r="A29" s="90"/>
      <c r="B29" s="429"/>
      <c r="C29" s="379"/>
      <c r="D29" s="429"/>
      <c r="E29" s="429"/>
    </row>
    <row r="30" spans="1:5" ht="11.25" customHeight="1" x14ac:dyDescent="0.25">
      <c r="A30" s="90">
        <v>6</v>
      </c>
      <c r="B30" s="290" t="s">
        <v>64</v>
      </c>
      <c r="C30" s="90"/>
      <c r="D30" s="88"/>
      <c r="E30" s="88"/>
    </row>
    <row r="31" spans="1:5" ht="11.25" customHeight="1" x14ac:dyDescent="0.25">
      <c r="A31" s="90"/>
      <c r="B31" s="429"/>
      <c r="C31" s="379"/>
      <c r="D31" s="429"/>
      <c r="E31" s="429"/>
    </row>
    <row r="32" spans="1:5" ht="11.25" customHeight="1" x14ac:dyDescent="0.25">
      <c r="A32" s="90"/>
      <c r="B32" s="429"/>
      <c r="C32" s="379"/>
      <c r="D32" s="429"/>
      <c r="E32" s="429"/>
    </row>
    <row r="33" spans="1:5" ht="11.25" customHeight="1" x14ac:dyDescent="0.25">
      <c r="A33" s="90"/>
      <c r="B33" s="429"/>
      <c r="C33" s="379"/>
      <c r="D33" s="429"/>
      <c r="E33" s="429"/>
    </row>
    <row r="34" spans="1:5" ht="11.25" customHeight="1" x14ac:dyDescent="0.25">
      <c r="A34" s="90"/>
      <c r="B34" s="429"/>
      <c r="C34" s="379"/>
      <c r="D34" s="429"/>
      <c r="E34" s="429"/>
    </row>
    <row r="35" spans="1:5" ht="11.25" customHeight="1" x14ac:dyDescent="0.25">
      <c r="A35" s="90">
        <v>7</v>
      </c>
      <c r="B35" s="290" t="s">
        <v>65</v>
      </c>
      <c r="C35" s="90"/>
      <c r="D35" s="88"/>
      <c r="E35" s="88"/>
    </row>
    <row r="36" spans="1:5" ht="11.25" customHeight="1" x14ac:dyDescent="0.25">
      <c r="A36" s="90"/>
      <c r="B36" s="429"/>
      <c r="C36" s="379"/>
      <c r="D36" s="429"/>
      <c r="E36" s="429"/>
    </row>
    <row r="37" spans="1:5" ht="11.25" customHeight="1" x14ac:dyDescent="0.25">
      <c r="A37" s="90"/>
      <c r="B37" s="429"/>
      <c r="C37" s="379"/>
      <c r="D37" s="429"/>
      <c r="E37" s="429"/>
    </row>
    <row r="38" spans="1:5" ht="11.25" customHeight="1" x14ac:dyDescent="0.25">
      <c r="A38" s="90"/>
      <c r="B38" s="429"/>
      <c r="C38" s="379"/>
      <c r="D38" s="429"/>
      <c r="E38" s="429"/>
    </row>
    <row r="39" spans="1:5" ht="11.25" customHeight="1" x14ac:dyDescent="0.25">
      <c r="A39" s="90"/>
      <c r="B39" s="429"/>
      <c r="C39" s="379"/>
      <c r="D39" s="429"/>
      <c r="E39" s="429"/>
    </row>
    <row r="40" spans="1:5" ht="11.25" customHeight="1" x14ac:dyDescent="0.25">
      <c r="A40" s="72"/>
      <c r="B40" s="430"/>
      <c r="C40" s="431"/>
      <c r="D40" s="430"/>
      <c r="E40" s="430"/>
    </row>
    <row r="41" spans="1:5" ht="11.25" customHeight="1" x14ac:dyDescent="0.25">
      <c r="A41" s="313" t="str">
        <f>head27a</f>
        <v>References</v>
      </c>
    </row>
    <row r="42" spans="1:5" ht="11.25" customHeight="1" x14ac:dyDescent="0.25">
      <c r="A42" s="27" t="s">
        <v>786</v>
      </c>
    </row>
    <row r="43" spans="1:5" ht="11.25" customHeight="1" x14ac:dyDescent="0.25">
      <c r="A43" s="27" t="s">
        <v>787</v>
      </c>
    </row>
    <row r="44" spans="1:5" ht="11.25" customHeight="1" x14ac:dyDescent="0.25">
      <c r="A44" s="27" t="s">
        <v>788</v>
      </c>
    </row>
    <row r="45" spans="1:5" ht="11.25" customHeight="1" x14ac:dyDescent="0.25">
      <c r="A45" s="27" t="s">
        <v>789</v>
      </c>
    </row>
    <row r="46" spans="1:5" ht="11.25" customHeight="1" x14ac:dyDescent="0.25">
      <c r="A46" s="27" t="s">
        <v>790</v>
      </c>
    </row>
    <row r="47" spans="1:5" ht="11.25" customHeight="1" x14ac:dyDescent="0.25">
      <c r="A47" s="27" t="s">
        <v>400</v>
      </c>
    </row>
  </sheetData>
  <mergeCells count="3">
    <mergeCell ref="A2:A3"/>
    <mergeCell ref="B2:B3"/>
    <mergeCell ref="A1:E1"/>
  </mergeCells>
  <phoneticPr fontId="2" type="noConversion"/>
  <printOptions horizontalCentered="1"/>
  <pageMargins left="0.35433070866141736" right="0.15748031496062992" top="0.78740157480314965" bottom="0.59055118110236227" header="0.51181102362204722" footer="0.39370078740157483"/>
  <pageSetup paperSize="8" scale="120" orientation="portrait" r:id="rId1"/>
  <headerFooter alignWithMargins="0">
    <oddFooter>&amp;L&amp;F&amp;C&amp;A&amp;R&amp;D</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K65"/>
  <sheetViews>
    <sheetView showGridLines="0" zoomScaleNormal="100" workbookViewId="0">
      <pane xSplit="3" ySplit="4" topLeftCell="D5" activePane="bottomRight" state="frozen"/>
      <selection pane="topRight"/>
      <selection pane="bottomLeft"/>
      <selection pane="bottomRight" sqref="A1:H1"/>
    </sheetView>
  </sheetViews>
  <sheetFormatPr defaultColWidth="9.28515625" defaultRowHeight="11.25" customHeight="1" x14ac:dyDescent="0.25"/>
  <cols>
    <col min="1" max="2" width="30.7109375" style="21" customWidth="1"/>
    <col min="3" max="3" width="3.28515625" style="21" customWidth="1"/>
    <col min="4" max="8" width="8.7109375" style="21" customWidth="1"/>
    <col min="9" max="16384" width="9.28515625" style="21"/>
  </cols>
  <sheetData>
    <row r="1" spans="1:11" ht="13.5" customHeight="1" x14ac:dyDescent="0.25">
      <c r="A1" s="848" t="str">
        <f>muni&amp; " - "&amp;S71H&amp; " - "&amp;Head57</f>
        <v>KZN282 uMhlathuze - Supporting Table SC2 Monthly Budget Statement - performance indicators   - M10 April</v>
      </c>
      <c r="B1" s="848"/>
      <c r="C1" s="848"/>
      <c r="D1" s="848"/>
      <c r="E1" s="848"/>
      <c r="F1" s="848"/>
      <c r="G1" s="848"/>
      <c r="H1" s="848"/>
    </row>
    <row r="2" spans="1:11" ht="12.75" x14ac:dyDescent="0.25">
      <c r="A2" s="852" t="s">
        <v>509</v>
      </c>
      <c r="B2" s="837" t="s">
        <v>718</v>
      </c>
      <c r="C2" s="830" t="str">
        <f>head27</f>
        <v>Ref</v>
      </c>
      <c r="D2" s="433" t="str">
        <f>Head1</f>
        <v>2023/24</v>
      </c>
      <c r="E2" s="139" t="str">
        <f>Head2</f>
        <v>Budget Year 2024/25</v>
      </c>
      <c r="F2" s="124"/>
      <c r="G2" s="124"/>
      <c r="H2" s="125"/>
    </row>
    <row r="3" spans="1:11" ht="25.5" x14ac:dyDescent="0.25">
      <c r="A3" s="853"/>
      <c r="B3" s="838"/>
      <c r="C3" s="841"/>
      <c r="D3" s="434" t="str">
        <f>Head5</f>
        <v>Audited Outcome</v>
      </c>
      <c r="E3" s="147" t="str">
        <f>Head6</f>
        <v>Original Budget</v>
      </c>
      <c r="F3" s="76" t="str">
        <f>Head7</f>
        <v>Adjusted Budget</v>
      </c>
      <c r="G3" s="76" t="str">
        <f>Head39</f>
        <v>YearTD actual</v>
      </c>
      <c r="H3" s="86" t="str">
        <f>Head8</f>
        <v>Full Year Forecast</v>
      </c>
    </row>
    <row r="4" spans="1:11" ht="11.25" customHeight="1" x14ac:dyDescent="0.25">
      <c r="A4" s="28"/>
      <c r="B4" s="28"/>
      <c r="C4" s="72"/>
      <c r="D4" s="93"/>
      <c r="E4" s="140"/>
      <c r="F4" s="135"/>
      <c r="G4" s="57"/>
      <c r="H4" s="120"/>
    </row>
    <row r="5" spans="1:11" ht="12.75" customHeight="1" x14ac:dyDescent="0.25">
      <c r="A5" s="435" t="s">
        <v>470</v>
      </c>
      <c r="B5" s="436"/>
      <c r="C5" s="437"/>
      <c r="D5" s="438"/>
      <c r="E5" s="439"/>
      <c r="F5" s="440"/>
      <c r="G5" s="440"/>
      <c r="H5" s="441"/>
    </row>
    <row r="6" spans="1:11" ht="3.75" customHeight="1" x14ac:dyDescent="0.25">
      <c r="A6" s="442"/>
      <c r="B6" s="443"/>
      <c r="C6" s="444"/>
      <c r="D6" s="187"/>
      <c r="E6" s="188"/>
      <c r="F6" s="189"/>
      <c r="G6" s="189"/>
      <c r="H6" s="190"/>
      <c r="K6" s="445"/>
    </row>
    <row r="7" spans="1:11" ht="19.5" customHeight="1" x14ac:dyDescent="0.25">
      <c r="A7" s="442" t="s">
        <v>763</v>
      </c>
      <c r="B7" s="443" t="s">
        <v>66</v>
      </c>
      <c r="C7" s="444"/>
      <c r="D7" s="188">
        <f>IF(ISERROR((D42-D43)/D45),0,((D42-D43)/D45))</f>
        <v>-2.6368229645831005E-3</v>
      </c>
      <c r="E7" s="188">
        <f>IF(ISERROR((E42+E44)/E45),0,((E42+E44)/E45))</f>
        <v>8.6722734391305858E-2</v>
      </c>
      <c r="F7" s="189">
        <f>IF(ISERROR((F42+F44)/F45),0,((F42+F44)/F45))</f>
        <v>9.5592661849966801E-2</v>
      </c>
      <c r="G7" s="189">
        <f>IF(ISERROR((G42+G44)/G45),0,((G42+G44)/G45))</f>
        <v>3.5513922841871833E-2</v>
      </c>
      <c r="H7" s="190">
        <f>IF(ISERROR((H42+H44)/H45),0,((H42+H44)/H45))</f>
        <v>3.9701776498779456E-2</v>
      </c>
    </row>
    <row r="8" spans="1:11" ht="30" customHeight="1" x14ac:dyDescent="0.25">
      <c r="A8" s="442" t="s">
        <v>963</v>
      </c>
      <c r="B8" s="443" t="s">
        <v>51</v>
      </c>
      <c r="C8" s="444"/>
      <c r="D8" s="188">
        <f>IF(ISERROR(D47/D46),0,(D47/D46))</f>
        <v>0.48546117976001213</v>
      </c>
      <c r="E8" s="188">
        <f>IF(ISERROR(E47/E46),0,(E47/E46))</f>
        <v>0.62193736763372476</v>
      </c>
      <c r="F8" s="189">
        <f>IF(ISERROR(F47/F46),0,(F47/F46))</f>
        <v>0.60553400959405879</v>
      </c>
      <c r="G8" s="189">
        <f>IF(ISERROR(G47/G46),0,(G47/G46))</f>
        <v>6.9932729872784822</v>
      </c>
      <c r="H8" s="190">
        <f>IF(ISERROR(H47/H46),0,(H47/H46))</f>
        <v>0.93964865962644906</v>
      </c>
      <c r="J8" s="446"/>
    </row>
    <row r="9" spans="1:11" ht="12.75" customHeight="1" x14ac:dyDescent="0.25">
      <c r="A9" s="447" t="s">
        <v>684</v>
      </c>
      <c r="B9" s="443"/>
      <c r="C9" s="444"/>
      <c r="D9" s="187"/>
      <c r="E9" s="188"/>
      <c r="F9" s="189"/>
      <c r="G9" s="189"/>
      <c r="H9" s="190"/>
    </row>
    <row r="10" spans="1:11" ht="25.5" x14ac:dyDescent="0.25">
      <c r="A10" s="442" t="s">
        <v>7</v>
      </c>
      <c r="B10" s="443" t="s">
        <v>885</v>
      </c>
      <c r="C10" s="444"/>
      <c r="D10" s="188">
        <f>IF(ISERROR(D48/D49),0,(D48/D49))</f>
        <v>0.40657948167247043</v>
      </c>
      <c r="E10" s="188">
        <f>IF(ISERROR(E48/E49),0,(E48/E49))</f>
        <v>0.42046316899138014</v>
      </c>
      <c r="F10" s="189">
        <f>IF(ISERROR(F48/F49),0,(F48/F49))</f>
        <v>0.44702960432233718</v>
      </c>
      <c r="G10" s="189">
        <f>IF(ISERROR(G48/G49),0,(G48/G49))</f>
        <v>0.43431988117607023</v>
      </c>
      <c r="H10" s="190">
        <f>IF(ISERROR(H48/H49),0,(H48/H49))</f>
        <v>0.44702960432233718</v>
      </c>
    </row>
    <row r="11" spans="1:11" ht="12.75" customHeight="1" x14ac:dyDescent="0.25">
      <c r="A11" s="442" t="s">
        <v>683</v>
      </c>
      <c r="B11" s="443" t="s">
        <v>667</v>
      </c>
      <c r="C11" s="444"/>
      <c r="D11" s="188">
        <f>IF(ISERROR(D51/D50),0,(D51/D50))</f>
        <v>0</v>
      </c>
      <c r="E11" s="188">
        <f>IF(ISERROR(E51/E50),0,(E51/E50))</f>
        <v>0</v>
      </c>
      <c r="F11" s="189">
        <f>IF(ISERROR(F51/F50),0,(F51/F50))</f>
        <v>0</v>
      </c>
      <c r="G11" s="189">
        <f>IF(ISERROR(G51/G50),0,(G51/G50))</f>
        <v>0</v>
      </c>
      <c r="H11" s="190">
        <f>IF(ISERROR(H51/H50),0,(H51/H50))</f>
        <v>0</v>
      </c>
    </row>
    <row r="12" spans="1:11" ht="12.75" customHeight="1" x14ac:dyDescent="0.25">
      <c r="A12" s="447" t="s">
        <v>685</v>
      </c>
      <c r="B12" s="443"/>
      <c r="C12" s="444"/>
      <c r="D12" s="187"/>
      <c r="E12" s="188"/>
      <c r="F12" s="189"/>
      <c r="G12" s="189"/>
      <c r="H12" s="190"/>
    </row>
    <row r="13" spans="1:11" ht="12.75" customHeight="1" x14ac:dyDescent="0.25">
      <c r="A13" s="442" t="s">
        <v>964</v>
      </c>
      <c r="B13" s="443" t="s">
        <v>494</v>
      </c>
      <c r="C13" s="90">
        <v>1</v>
      </c>
      <c r="D13" s="188">
        <f>IF(ISERROR(D52/D53),0,(D52/D53))</f>
        <v>1.230573174814489</v>
      </c>
      <c r="E13" s="188">
        <f>IF(ISERROR(E52/E53),0,(E52/E53))</f>
        <v>1.4750708598778104</v>
      </c>
      <c r="F13" s="189">
        <f>IF(ISERROR(F52/F53),0,(F52/F53))</f>
        <v>1.0455499809939568</v>
      </c>
      <c r="G13" s="189">
        <f>IF(ISERROR(G52/G53),0,(G52/G53))</f>
        <v>1.5174265847653536</v>
      </c>
      <c r="H13" s="190">
        <f>IF(ISERROR(H52/H53),0,(H52/H53))</f>
        <v>1.0455499809939568</v>
      </c>
    </row>
    <row r="14" spans="1:11" ht="12.75" customHeight="1" x14ac:dyDescent="0.25">
      <c r="A14" s="442" t="s">
        <v>686</v>
      </c>
      <c r="B14" s="443" t="s">
        <v>397</v>
      </c>
      <c r="C14" s="444"/>
      <c r="D14" s="188">
        <f>IF(ISERROR(D54/D53),0,(D54/D53))</f>
        <v>0.2864631700889263</v>
      </c>
      <c r="E14" s="188">
        <f>IF(ISERROR(E54/E53),0,(E54/E53))</f>
        <v>0.42673404788201919</v>
      </c>
      <c r="F14" s="189">
        <f>IF(ISERROR(F54/F53),0,(F54/F53))</f>
        <v>0.14586372978604004</v>
      </c>
      <c r="G14" s="189">
        <f>IF(ISERROR(G54/G53),0,(G54/G53))</f>
        <v>0.59273624758989885</v>
      </c>
      <c r="H14" s="190">
        <f>IF(ISERROR(H54/H53),0,(H54/H53))</f>
        <v>0.14586372978604004</v>
      </c>
    </row>
    <row r="15" spans="1:11" ht="12.75" customHeight="1" x14ac:dyDescent="0.25">
      <c r="A15" s="447" t="s">
        <v>398</v>
      </c>
      <c r="B15" s="443"/>
      <c r="C15" s="444"/>
      <c r="D15" s="187"/>
      <c r="E15" s="188"/>
      <c r="F15" s="189"/>
      <c r="G15" s="189"/>
      <c r="H15" s="190"/>
    </row>
    <row r="16" spans="1:11" ht="25.5" x14ac:dyDescent="0.25">
      <c r="A16" s="442" t="s">
        <v>454</v>
      </c>
      <c r="B16" s="443" t="s">
        <v>426</v>
      </c>
      <c r="C16" s="444"/>
      <c r="D16" s="187"/>
      <c r="E16" s="188"/>
      <c r="F16" s="189"/>
      <c r="G16" s="189"/>
      <c r="H16" s="190"/>
    </row>
    <row r="17" spans="1:8" ht="12.75" customHeight="1" x14ac:dyDescent="0.25">
      <c r="A17" s="442" t="s">
        <v>427</v>
      </c>
      <c r="B17" s="443" t="s">
        <v>589</v>
      </c>
      <c r="C17" s="444"/>
      <c r="D17" s="188">
        <f>IF(ISERROR(D59/D55),0,(D59/D55))</f>
        <v>0.14909388359446601</v>
      </c>
      <c r="E17" s="188">
        <f>IF(ISERROR(E59/E55),0,(E59/E55))</f>
        <v>0</v>
      </c>
      <c r="F17" s="189">
        <f>IF(ISERROR(F59/F55),0,(F59/F55))</f>
        <v>0</v>
      </c>
      <c r="G17" s="189">
        <f>IF(ISERROR(G59/G55),0,(G59/G55))</f>
        <v>0</v>
      </c>
      <c r="H17" s="190">
        <f>IF(ISERROR(H59/H55),0,(H59/H55))</f>
        <v>0</v>
      </c>
    </row>
    <row r="18" spans="1:8" ht="25.5" x14ac:dyDescent="0.25">
      <c r="A18" s="442" t="s">
        <v>965</v>
      </c>
      <c r="B18" s="443" t="s">
        <v>455</v>
      </c>
      <c r="C18" s="444"/>
      <c r="D18" s="188">
        <f>IF(ISERROR(D64/D63),0,(D64/D63))</f>
        <v>0</v>
      </c>
      <c r="E18" s="188">
        <f>IF(ISERROR(E64/E63),0,(E64/E63))</f>
        <v>0</v>
      </c>
      <c r="F18" s="189">
        <f>IF(ISERROR(F64/F63),0,(F64/F63))</f>
        <v>0</v>
      </c>
      <c r="G18" s="189">
        <f>IF(ISERROR(G64/G63),0,(G64/G63))</f>
        <v>0</v>
      </c>
      <c r="H18" s="190">
        <f>IF(ISERROR(H64/H63),0,(H64/H63))</f>
        <v>0</v>
      </c>
    </row>
    <row r="19" spans="1:8" ht="12.75" customHeight="1" x14ac:dyDescent="0.25">
      <c r="A19" s="447" t="s">
        <v>8</v>
      </c>
      <c r="B19" s="443"/>
      <c r="C19" s="444"/>
      <c r="D19" s="187"/>
      <c r="E19" s="188"/>
      <c r="F19" s="189"/>
      <c r="G19" s="189"/>
      <c r="H19" s="190"/>
    </row>
    <row r="20" spans="1:8" ht="25.5" x14ac:dyDescent="0.25">
      <c r="A20" s="442" t="s">
        <v>9</v>
      </c>
      <c r="B20" s="443" t="s">
        <v>735</v>
      </c>
      <c r="C20" s="444"/>
      <c r="D20" s="448"/>
      <c r="E20" s="449"/>
      <c r="F20" s="450"/>
      <c r="G20" s="450"/>
      <c r="H20" s="451"/>
    </row>
    <row r="21" spans="1:8" ht="12.75" customHeight="1" x14ac:dyDescent="0.25">
      <c r="A21" s="447" t="s">
        <v>466</v>
      </c>
      <c r="B21" s="443"/>
      <c r="C21" s="444"/>
      <c r="D21" s="187"/>
      <c r="E21" s="188"/>
      <c r="F21" s="189"/>
      <c r="G21" s="189"/>
      <c r="H21" s="190"/>
    </row>
    <row r="22" spans="1:8" ht="12.75" customHeight="1" x14ac:dyDescent="0.25">
      <c r="A22" s="442" t="s">
        <v>467</v>
      </c>
      <c r="B22" s="443" t="s">
        <v>468</v>
      </c>
      <c r="C22" s="444"/>
      <c r="D22" s="187"/>
      <c r="E22" s="188"/>
      <c r="F22" s="189"/>
      <c r="G22" s="189"/>
      <c r="H22" s="190"/>
    </row>
    <row r="23" spans="1:8" ht="12.75" customHeight="1" x14ac:dyDescent="0.25">
      <c r="A23" s="447" t="s">
        <v>469</v>
      </c>
      <c r="B23" s="443"/>
      <c r="C23" s="444"/>
      <c r="D23" s="187"/>
      <c r="E23" s="188"/>
      <c r="F23" s="189"/>
      <c r="G23" s="189"/>
      <c r="H23" s="190"/>
    </row>
    <row r="24" spans="1:8" ht="27.75" customHeight="1" x14ac:dyDescent="0.25">
      <c r="A24" s="442" t="s">
        <v>457</v>
      </c>
      <c r="B24" s="452" t="s">
        <v>52</v>
      </c>
      <c r="C24" s="453">
        <v>2</v>
      </c>
      <c r="D24" s="448"/>
      <c r="E24" s="449"/>
      <c r="F24" s="450"/>
      <c r="G24" s="450"/>
      <c r="H24" s="451"/>
    </row>
    <row r="25" spans="1:8" ht="27.75" customHeight="1" x14ac:dyDescent="0.25">
      <c r="A25" s="442" t="s">
        <v>456</v>
      </c>
      <c r="B25" s="452" t="s">
        <v>53</v>
      </c>
      <c r="C25" s="453">
        <v>2</v>
      </c>
      <c r="D25" s="448"/>
      <c r="E25" s="449"/>
      <c r="F25" s="450"/>
      <c r="G25" s="450"/>
      <c r="H25" s="451"/>
    </row>
    <row r="26" spans="1:8" ht="27.75" customHeight="1" x14ac:dyDescent="0.25">
      <c r="A26" s="442" t="s">
        <v>432</v>
      </c>
      <c r="B26" s="443" t="s">
        <v>704</v>
      </c>
      <c r="C26" s="444"/>
      <c r="D26" s="188">
        <f>IF(ISERROR(D40/D55),0,(D40/D55))</f>
        <v>0.23084366348930913</v>
      </c>
      <c r="E26" s="188">
        <f>IF(ISERROR(E40/E55),0,(E40/E55))</f>
        <v>0.2244983517850801</v>
      </c>
      <c r="F26" s="189">
        <f>IF(ISERROR(F40/F55),0,(F40/F55))</f>
        <v>0.22430492404499514</v>
      </c>
      <c r="G26" s="189">
        <f>IF(ISERROR(G40/G55),0,(G40/G55))</f>
        <v>0.2131295440773644</v>
      </c>
      <c r="H26" s="190">
        <f>IF(ISERROR(H40/H55),0,(H40/H55))</f>
        <v>0.22430492404499514</v>
      </c>
    </row>
    <row r="27" spans="1:8" ht="27.75" customHeight="1" x14ac:dyDescent="0.25">
      <c r="A27" s="442" t="s">
        <v>702</v>
      </c>
      <c r="B27" s="443" t="s">
        <v>705</v>
      </c>
      <c r="C27" s="444"/>
      <c r="D27" s="188">
        <f>IF(ISERROR(D41/D55),0,(D41/D55))</f>
        <v>6.264718225347618E-2</v>
      </c>
      <c r="E27" s="188">
        <f>IF(ISERROR(E41/E55),0,(E41/E55))</f>
        <v>0.10846810039511368</v>
      </c>
      <c r="F27" s="189">
        <f>IF(ISERROR(F41/F55),0,(F41/F55))</f>
        <v>0.11604278524679933</v>
      </c>
      <c r="G27" s="189">
        <f>IF(ISERROR(G41/G55),0,(G41/G55))</f>
        <v>7.2133520686458411E-2</v>
      </c>
      <c r="H27" s="190">
        <f>IF(ISERROR(H41/H55),0,(H41/H55))</f>
        <v>0.11604278524679933</v>
      </c>
    </row>
    <row r="28" spans="1:8" ht="27.75" customHeight="1" x14ac:dyDescent="0.25">
      <c r="A28" s="442" t="s">
        <v>703</v>
      </c>
      <c r="B28" s="443" t="s">
        <v>687</v>
      </c>
      <c r="C28" s="444"/>
      <c r="D28" s="188">
        <f>IF(ISERROR((D42+D44)/D55),0,((D42+D44)/D55))</f>
        <v>9.6691677526645106E-2</v>
      </c>
      <c r="E28" s="188">
        <f>IF(ISERROR((E42+E44)/E55),0,((E42+E44)/E55))</f>
        <v>8.6575082225013533E-2</v>
      </c>
      <c r="F28" s="189">
        <f>IF(ISERROR((F42+F44)/F55),0,((F42+F44)/F55))</f>
        <v>0.10071210251143903</v>
      </c>
      <c r="G28" s="189">
        <f>IF(ISERROR((G42+G44)/G55),0,((G42+G44)/G55))</f>
        <v>3.61878490130908E-2</v>
      </c>
      <c r="H28" s="190">
        <f>IF(ISERROR((H42+H44)/H55),0,((H42+H44)/H55))</f>
        <v>4.1827995028602773E-2</v>
      </c>
    </row>
    <row r="29" spans="1:8" ht="12.75" customHeight="1" x14ac:dyDescent="0.25">
      <c r="A29" s="454" t="s">
        <v>600</v>
      </c>
      <c r="B29" s="455"/>
      <c r="C29" s="456"/>
      <c r="D29" s="187"/>
      <c r="E29" s="188"/>
      <c r="F29" s="189"/>
      <c r="G29" s="189"/>
      <c r="H29" s="190"/>
    </row>
    <row r="30" spans="1:8" ht="27.75" customHeight="1" x14ac:dyDescent="0.25">
      <c r="A30" s="442" t="s">
        <v>601</v>
      </c>
      <c r="B30" s="443" t="s">
        <v>731</v>
      </c>
      <c r="C30" s="444"/>
      <c r="D30" s="448"/>
      <c r="E30" s="449"/>
      <c r="F30" s="450"/>
      <c r="G30" s="450"/>
      <c r="H30" s="451"/>
    </row>
    <row r="31" spans="1:8" ht="25.5" x14ac:dyDescent="0.25">
      <c r="A31" s="442" t="s">
        <v>736</v>
      </c>
      <c r="B31" s="443" t="s">
        <v>446</v>
      </c>
      <c r="C31" s="444"/>
      <c r="D31" s="448"/>
      <c r="E31" s="449"/>
      <c r="F31" s="450"/>
      <c r="G31" s="450"/>
      <c r="H31" s="451"/>
    </row>
    <row r="32" spans="1:8" ht="25.5" x14ac:dyDescent="0.25">
      <c r="A32" s="457" t="s">
        <v>602</v>
      </c>
      <c r="B32" s="458" t="s">
        <v>406</v>
      </c>
      <c r="C32" s="459"/>
      <c r="D32" s="460"/>
      <c r="E32" s="461"/>
      <c r="F32" s="462"/>
      <c r="G32" s="462"/>
      <c r="H32" s="463"/>
    </row>
    <row r="33" spans="1:8" ht="12.75" customHeight="1" x14ac:dyDescent="0.25">
      <c r="A33" s="64" t="s">
        <v>595</v>
      </c>
      <c r="D33" s="464"/>
      <c r="E33" s="464"/>
      <c r="F33" s="464"/>
      <c r="G33" s="464"/>
      <c r="H33" s="464"/>
    </row>
    <row r="34" spans="1:8" ht="12.75" customHeight="1" x14ac:dyDescent="0.25">
      <c r="A34" s="315" t="s">
        <v>458</v>
      </c>
    </row>
    <row r="35" spans="1:8" ht="12.75" customHeight="1" x14ac:dyDescent="0.25">
      <c r="A35" s="73" t="s">
        <v>826</v>
      </c>
    </row>
    <row r="36" spans="1:8" ht="12.75" customHeight="1" x14ac:dyDescent="0.25"/>
    <row r="37" spans="1:8" ht="12.75" customHeight="1" x14ac:dyDescent="0.25">
      <c r="A37" s="465" t="s">
        <v>480</v>
      </c>
      <c r="B37" s="161"/>
      <c r="C37" s="161"/>
      <c r="D37" s="161"/>
      <c r="E37" s="161"/>
      <c r="F37" s="161"/>
      <c r="G37" s="161"/>
      <c r="H37" s="162"/>
    </row>
    <row r="38" spans="1:8" ht="12.75" customHeight="1" x14ac:dyDescent="0.25">
      <c r="A38" s="32" t="str">
        <f>'C6-FinPos'!A40</f>
        <v>Financial liabilities</v>
      </c>
      <c r="D38" s="58">
        <f>'C6-FinPos'!C40</f>
        <v>1505738694.1700001</v>
      </c>
      <c r="E38" s="58">
        <f>'C6-FinPos'!D40</f>
        <v>1615227879.23</v>
      </c>
      <c r="F38" s="58">
        <f>'C6-FinPos'!E40</f>
        <v>1656786950.22</v>
      </c>
      <c r="G38" s="58">
        <f>'C6-FinPos'!F40</f>
        <v>1758981477.3399999</v>
      </c>
      <c r="H38" s="353">
        <v>0</v>
      </c>
    </row>
    <row r="39" spans="1:8" ht="12.75" customHeight="1" x14ac:dyDescent="0.25">
      <c r="A39" s="32" t="s">
        <v>482</v>
      </c>
      <c r="D39" s="58">
        <f>'C6-FinPos'!C27</f>
        <v>9003056316.9099998</v>
      </c>
      <c r="E39" s="58">
        <f>'C6-FinPos'!D27</f>
        <v>10023035935.27</v>
      </c>
      <c r="F39" s="58">
        <f>'C6-FinPos'!E27</f>
        <v>9164386980.7000008</v>
      </c>
      <c r="G39" s="58">
        <f>'C6-FinPos'!F27</f>
        <v>9365185903.5900002</v>
      </c>
      <c r="H39" s="353">
        <f>'C6-FinPos'!G27</f>
        <v>9164386980.7000008</v>
      </c>
    </row>
    <row r="40" spans="1:8" ht="12.75" customHeight="1" x14ac:dyDescent="0.25">
      <c r="A40" s="32" t="str">
        <f>'C4-FinPerf RE'!A35</f>
        <v>Employee related costs</v>
      </c>
      <c r="D40" s="58">
        <f>'C4-FinPerf RE'!C35</f>
        <v>1155996572.21</v>
      </c>
      <c r="E40" s="58">
        <f>'C4-FinPerf RE'!D35</f>
        <v>1257067700</v>
      </c>
      <c r="F40" s="58">
        <f>'C4-FinPerf RE'!E35</f>
        <v>1197348600</v>
      </c>
      <c r="G40" s="58">
        <f>'C4-FinPerf RE'!G35</f>
        <v>948543138.57000005</v>
      </c>
      <c r="H40" s="353">
        <f>'C4-FinPerf RE'!K35</f>
        <v>1197348600</v>
      </c>
    </row>
    <row r="41" spans="1:8" ht="12.75" customHeight="1" x14ac:dyDescent="0.25">
      <c r="A41" s="32" t="str">
        <f>A27</f>
        <v>Repairs &amp; Maintenance</v>
      </c>
      <c r="D41" s="466">
        <f>+SC13c!C172</f>
        <v>313718500.43000007</v>
      </c>
      <c r="E41" s="466">
        <f>+SC13c!D172</f>
        <v>607361900</v>
      </c>
      <c r="F41" s="466">
        <f>+SC13c!E172</f>
        <v>619441000</v>
      </c>
      <c r="G41" s="466">
        <f>+SC13c!G172</f>
        <v>321033653.05000001</v>
      </c>
      <c r="H41" s="467">
        <f>+SC13c!K172</f>
        <v>619441000</v>
      </c>
    </row>
    <row r="42" spans="1:8" ht="12.75" customHeight="1" x14ac:dyDescent="0.25">
      <c r="A42" s="32" t="s">
        <v>483</v>
      </c>
      <c r="D42" s="58">
        <f>'C4-FinPerf RE'!C41</f>
        <v>158839238.19999999</v>
      </c>
      <c r="E42" s="58">
        <f>'C4-FinPerf RE'!D41</f>
        <v>178823500</v>
      </c>
      <c r="F42" s="58">
        <f>'C4-FinPerf RE'!E41</f>
        <v>184846100</v>
      </c>
      <c r="G42" s="58">
        <f>'C4-FinPerf RE'!G41</f>
        <v>161055737.38999999</v>
      </c>
      <c r="H42" s="353">
        <f>'C4-FinPerf RE'!K41</f>
        <v>184846100</v>
      </c>
    </row>
    <row r="43" spans="1:8" ht="12.75" customHeight="1" x14ac:dyDescent="0.25">
      <c r="A43" s="32" t="s">
        <v>67</v>
      </c>
      <c r="D43" s="58">
        <f>-'C7-CFlow'!C36</f>
        <v>172699590.21000001</v>
      </c>
      <c r="E43" s="58">
        <f>-'C7-CFlow'!D36</f>
        <v>181780900</v>
      </c>
      <c r="F43" s="58">
        <f>-'C7-CFlow'!E36</f>
        <v>192248500</v>
      </c>
      <c r="G43" s="58">
        <f>-'C7-CFlow'!G36</f>
        <v>96411889.390000001</v>
      </c>
      <c r="H43" s="353">
        <f>-'C7-CFlow'!K36</f>
        <v>192248500</v>
      </c>
    </row>
    <row r="44" spans="1:8" ht="12.75" customHeight="1" x14ac:dyDescent="0.25">
      <c r="A44" s="32" t="s">
        <v>484</v>
      </c>
      <c r="D44" s="58">
        <f>'C4-FinPerf RE'!C40</f>
        <v>325363993.07999998</v>
      </c>
      <c r="E44" s="58">
        <f>'C4-FinPerf RE'!D40</f>
        <v>305949500</v>
      </c>
      <c r="F44" s="58">
        <f>'C4-FinPerf RE'!E40</f>
        <v>352759106.20999998</v>
      </c>
      <c r="G44" s="58"/>
      <c r="H44" s="353">
        <f>'C4-FinPerf RE'!K36</f>
        <v>38433400</v>
      </c>
    </row>
    <row r="45" spans="1:8" ht="12.75" customHeight="1" x14ac:dyDescent="0.25">
      <c r="A45" s="32" t="s">
        <v>0</v>
      </c>
      <c r="D45" s="58">
        <f>'C4-FinPerf RE'!C48</f>
        <v>5256459078.2799997</v>
      </c>
      <c r="E45" s="58">
        <f>'C4-FinPerf RE'!D48</f>
        <v>5589918300</v>
      </c>
      <c r="F45" s="58">
        <f>'C4-FinPerf RE'!E48</f>
        <v>5623917106.25</v>
      </c>
      <c r="G45" s="58">
        <f>'C4-FinPerf RE'!G48</f>
        <v>4535002739.8299999</v>
      </c>
      <c r="H45" s="353">
        <f>'C4-FinPerf RE'!K48</f>
        <v>5623917106.25</v>
      </c>
    </row>
    <row r="46" spans="1:8" ht="12.75" customHeight="1" x14ac:dyDescent="0.25">
      <c r="A46" s="32" t="str">
        <f>'C5-Capex'!A40</f>
        <v>Total Capital Expenditure</v>
      </c>
      <c r="D46" s="58">
        <f>'C5-Capex'!C63</f>
        <v>797757097.45000005</v>
      </c>
      <c r="E46" s="58">
        <f>'C5-Capex'!D63</f>
        <v>610994000</v>
      </c>
      <c r="F46" s="58">
        <f>'C5-Capex'!E63</f>
        <v>627805200</v>
      </c>
      <c r="G46" s="58">
        <f>'C5-Capex'!F63</f>
        <v>32044528.370000001</v>
      </c>
      <c r="H46" s="353">
        <f>'C5-Capex'!G63</f>
        <v>404573982.10000002</v>
      </c>
    </row>
    <row r="47" spans="1:8" ht="12.75" customHeight="1" x14ac:dyDescent="0.25">
      <c r="A47" s="32" t="s">
        <v>487</v>
      </c>
      <c r="D47" s="58">
        <f>'C5-Capex'!C72</f>
        <v>387280101.69</v>
      </c>
      <c r="E47" s="58">
        <f>'C5-Capex'!D72</f>
        <v>380000000</v>
      </c>
      <c r="F47" s="58">
        <f>'C5-Capex'!E72</f>
        <v>380157400</v>
      </c>
      <c r="G47" s="58">
        <f>'C5-Capex'!G72</f>
        <v>224096134.63999999</v>
      </c>
      <c r="H47" s="353">
        <f>'C5-Capex'!K72</f>
        <v>380157400</v>
      </c>
    </row>
    <row r="48" spans="1:8" ht="12.75" customHeight="1" x14ac:dyDescent="0.25">
      <c r="A48" s="32" t="s">
        <v>485</v>
      </c>
      <c r="D48" s="58">
        <f>'C6-FinPos'!C30+'C6-FinPos'!C31+'C6-FinPos'!C33+'C6-FinPos'!C34+'C6-FinPos'!C40+'C6-FinPos'!C43</f>
        <v>2554908725.4299998</v>
      </c>
      <c r="E48" s="58">
        <f>'C6-FinPos'!D30+'C6-FinPos'!D31+'C6-FinPos'!D33+'C6-FinPos'!D34+'C6-FinPos'!D40+'C6-FinPos'!D43</f>
        <v>2924282592.27</v>
      </c>
      <c r="F48" s="58">
        <f>'C6-FinPos'!E30+'C6-FinPos'!E31+'C6-FinPos'!E33+'C6-FinPos'!E34+'C6-FinPos'!E40+'C6-FinPos'!E43</f>
        <v>2782712825.4299998</v>
      </c>
      <c r="G48" s="58">
        <f>'C6-FinPos'!F30+'C6-FinPos'!F31+'C6-FinPos'!F33+'C6-FinPos'!F34+'C6-FinPos'!F40+'C6-FinPos'!F43</f>
        <v>2781080774.2199998</v>
      </c>
      <c r="H48" s="353">
        <f>'C6-FinPos'!G30+'C6-FinPos'!G31+'C6-FinPos'!G33+'C6-FinPos'!G34+'C6-FinPos'!G40+'C6-FinPos'!G43</f>
        <v>2782712825.4299998</v>
      </c>
    </row>
    <row r="49" spans="1:8" ht="12.75" customHeight="1" x14ac:dyDescent="0.25">
      <c r="A49" s="32" t="s">
        <v>486</v>
      </c>
      <c r="D49" s="58">
        <f>'C6-FinPos'!C51</f>
        <v>6283909642.7600002</v>
      </c>
      <c r="E49" s="58">
        <f>'C6-FinPos'!D51</f>
        <v>6954907844.3299999</v>
      </c>
      <c r="F49" s="58">
        <f>'C6-FinPos'!E51</f>
        <v>6224896066.2200003</v>
      </c>
      <c r="G49" s="58">
        <f>'C6-FinPos'!F51</f>
        <v>6403300642.5799999</v>
      </c>
      <c r="H49" s="353">
        <f>'C6-FinPos'!G51</f>
        <v>6224896066.2200003</v>
      </c>
    </row>
    <row r="50" spans="1:8" ht="12.75" customHeight="1" x14ac:dyDescent="0.25">
      <c r="A50" s="32" t="str">
        <f>'C6-FinPos'!A49</f>
        <v>Reserves and funds</v>
      </c>
      <c r="D50" s="58">
        <f>'C6-FinPos'!C50</f>
        <v>0</v>
      </c>
      <c r="E50" s="58">
        <f>'C6-FinPos'!D50</f>
        <v>0</v>
      </c>
      <c r="F50" s="58">
        <f>'C6-FinPos'!E50</f>
        <v>0</v>
      </c>
      <c r="G50" s="58">
        <f>'C6-FinPos'!F50</f>
        <v>0</v>
      </c>
      <c r="H50" s="353">
        <f>'C6-FinPos'!G50</f>
        <v>0</v>
      </c>
    </row>
    <row r="51" spans="1:8" ht="12.75" customHeight="1" x14ac:dyDescent="0.25">
      <c r="A51" s="32" t="s">
        <v>725</v>
      </c>
      <c r="D51" s="58">
        <f>'C6-FinPos'!C40</f>
        <v>1505738694.1700001</v>
      </c>
      <c r="E51" s="58">
        <f>'C6-FinPos'!D40</f>
        <v>1615227879.23</v>
      </c>
      <c r="F51" s="58">
        <f>'C6-FinPos'!E40</f>
        <v>1656786950.22</v>
      </c>
      <c r="G51" s="58">
        <f>'C6-FinPos'!F40</f>
        <v>1758981477.3399999</v>
      </c>
      <c r="H51" s="353">
        <f>'C6-FinPos'!G40</f>
        <v>1656786950.22</v>
      </c>
    </row>
    <row r="52" spans="1:8" ht="12.75" customHeight="1" x14ac:dyDescent="0.25">
      <c r="A52" s="32" t="str">
        <f>'C6-FinPos'!A6</f>
        <v>Current assets</v>
      </c>
      <c r="D52" s="58">
        <f>'C6-FinPos'!C14</f>
        <v>1170448576.3899999</v>
      </c>
      <c r="E52" s="58">
        <f>'C6-FinPos'!D14</f>
        <v>1748555946.8299999</v>
      </c>
      <c r="F52" s="58">
        <f>'C6-FinPos'!E14</f>
        <v>1056733146.3899999</v>
      </c>
      <c r="G52" s="58">
        <f>'C6-FinPos'!F14</f>
        <v>1418744970.8399999</v>
      </c>
      <c r="H52" s="353">
        <f>'C6-FinPos'!G14</f>
        <v>1056733146.3899999</v>
      </c>
    </row>
    <row r="53" spans="1:8" ht="12.75" customHeight="1" x14ac:dyDescent="0.25">
      <c r="A53" s="32" t="str">
        <f>'C6-FinPos'!A29</f>
        <v>Current liabilities</v>
      </c>
      <c r="D53" s="58">
        <f>'C6-FinPos'!C38</f>
        <v>951140980.75999987</v>
      </c>
      <c r="E53" s="58">
        <f>'C6-FinPos'!D38</f>
        <v>1185404711.3199999</v>
      </c>
      <c r="F53" s="58">
        <f>'C6-FinPos'!E38</f>
        <v>1010695964.42</v>
      </c>
      <c r="G53" s="58">
        <f>'C6-FinPos'!F38</f>
        <v>934967783.66999996</v>
      </c>
      <c r="H53" s="353">
        <f>'C6-FinPos'!G38</f>
        <v>1010695964.42</v>
      </c>
    </row>
    <row r="54" spans="1:8" ht="12.75" customHeight="1" x14ac:dyDescent="0.25">
      <c r="A54" s="32" t="s">
        <v>488</v>
      </c>
      <c r="D54" s="58">
        <f>'C6-FinPos'!C7</f>
        <v>272466860.55000001</v>
      </c>
      <c r="E54" s="58">
        <f>'C6-FinPos'!D7</f>
        <v>505852550.83999997</v>
      </c>
      <c r="F54" s="58">
        <f>'C6-FinPos'!E7</f>
        <v>147423883.05000001</v>
      </c>
      <c r="G54" s="58">
        <f>'C6-FinPos'!F7</f>
        <v>554189295.71000004</v>
      </c>
      <c r="H54" s="353">
        <f>'C6-FinPos'!G7</f>
        <v>147423883.05000001</v>
      </c>
    </row>
    <row r="55" spans="1:8" ht="12.75" customHeight="1" x14ac:dyDescent="0.25">
      <c r="A55" s="32" t="str">
        <f>'C4-FinPerf RE'!A33</f>
        <v>Total Revenue (excluding capital transfers and contributions)</v>
      </c>
      <c r="D55" s="58">
        <f>'C4-FinPerf RE'!C33</f>
        <v>5007703286.0100002</v>
      </c>
      <c r="E55" s="58">
        <f>'C4-FinPerf RE'!D33</f>
        <v>5599451800</v>
      </c>
      <c r="F55" s="58">
        <f>'C4-FinPerf RE'!E33</f>
        <v>5338039747</v>
      </c>
      <c r="G55" s="58">
        <f>'C4-FinPerf RE'!G33</f>
        <v>4450547401.4700003</v>
      </c>
      <c r="H55" s="353">
        <f>'C4-FinPerf RE'!K33</f>
        <v>5338039747</v>
      </c>
    </row>
    <row r="56" spans="1:8" ht="12.75" customHeight="1" x14ac:dyDescent="0.25">
      <c r="A56" s="32" t="str">
        <f>'C4-FinPerf RE'!A26</f>
        <v>Transfers and subsidies - Operational</v>
      </c>
      <c r="D56" s="58">
        <f>'C4-FinPerf RE'!C26</f>
        <v>554728226.22000003</v>
      </c>
      <c r="E56" s="58">
        <f>'C4-FinPerf RE'!D28</f>
        <v>0</v>
      </c>
      <c r="F56" s="58">
        <f>'C4-FinPerf RE'!E28</f>
        <v>0</v>
      </c>
      <c r="G56" s="58">
        <f>'C4-FinPerf RE'!G28</f>
        <v>0</v>
      </c>
      <c r="H56" s="353">
        <f>'C4-FinPerf RE'!K28</f>
        <v>0</v>
      </c>
    </row>
    <row r="57" spans="1:8" ht="12.75" customHeight="1" x14ac:dyDescent="0.25">
      <c r="A57" s="32" t="str">
        <f>'C4-FinPerf RE'!A50</f>
        <v>Transfers and subsidies - capital (monetary allocations)</v>
      </c>
      <c r="D57" s="58">
        <f>'C4-FinPerf RE'!C50</f>
        <v>258305938.52000001</v>
      </c>
      <c r="E57" s="58">
        <f>'C4-FinPerf RE'!D50</f>
        <v>219003000</v>
      </c>
      <c r="F57" s="58">
        <f>'C4-FinPerf RE'!E50</f>
        <v>227008100</v>
      </c>
      <c r="G57" s="58">
        <f>'C4-FinPerf RE'!G50</f>
        <v>166948039.93000001</v>
      </c>
      <c r="H57" s="353">
        <f>'C4-FinPerf RE'!K50</f>
        <v>227008100</v>
      </c>
    </row>
    <row r="58" spans="1:8" ht="12.75" customHeight="1" x14ac:dyDescent="0.25">
      <c r="A58" s="32" t="s">
        <v>407</v>
      </c>
      <c r="D58" s="58">
        <f>'C7-CFlow'!C12+'C7-CFlow'!C36</f>
        <v>-146766394.06999999</v>
      </c>
      <c r="E58" s="58">
        <f>'C7-CFlow'!D12+'C7-CFlow'!D36</f>
        <v>-136753558</v>
      </c>
      <c r="F58" s="58">
        <f>'C7-CFlow'!E12+'C7-CFlow'!E36</f>
        <v>-147222040</v>
      </c>
      <c r="G58" s="58">
        <f>'C7-CFlow'!G16+'C7-CFlow'!G36</f>
        <v>-191369065.28</v>
      </c>
      <c r="H58" s="353">
        <f>'C7-CFlow'!K16+'C7-CFlow'!K36</f>
        <v>-377094600</v>
      </c>
    </row>
    <row r="59" spans="1:8" ht="12.75" customHeight="1" x14ac:dyDescent="0.25">
      <c r="A59" s="32" t="s">
        <v>481</v>
      </c>
      <c r="D59" s="58">
        <f>'C6-FinPos'!C8+'C6-FinPos'!C9+'C6-FinPos'!C10+'C6-FinPos'!C13+'C6-FinPos'!C23+'C6-FinPos'!C24</f>
        <v>746617930.79999995</v>
      </c>
      <c r="E59" s="58">
        <v>0</v>
      </c>
      <c r="F59" s="58">
        <v>0</v>
      </c>
      <c r="G59" s="58">
        <v>0</v>
      </c>
      <c r="H59" s="353">
        <v>0</v>
      </c>
    </row>
    <row r="60" spans="1:8" ht="12.75" customHeight="1" x14ac:dyDescent="0.25">
      <c r="A60" s="32" t="s">
        <v>408</v>
      </c>
      <c r="D60" s="58">
        <f>'C4-FinPerf RE'!C7+'C4-FinPerf RE'!C8+'C4-FinPerf RE'!C9+'C4-FinPerf RE'!C10+'C4-FinPerf RE'!C22</f>
        <v>3502036513.4600005</v>
      </c>
      <c r="E60" s="58">
        <f>'C4-FinPerf RE'!D7+'C4-FinPerf RE'!D8+'C4-FinPerf RE'!D9+'C4-FinPerf RE'!D10+'C4-FinPerf RE'!D22</f>
        <v>4217229500</v>
      </c>
      <c r="F60" s="58">
        <f>'C4-FinPerf RE'!E7+'C4-FinPerf RE'!E8+'C4-FinPerf RE'!E9+'C4-FinPerf RE'!E10+'C4-FinPerf RE'!E22</f>
        <v>3952270800</v>
      </c>
      <c r="G60" s="58">
        <f>'C4-FinPerf RE'!F7+'C4-FinPerf RE'!F8+'C4-FinPerf RE'!F9+'C4-FinPerf RE'!F10+'C4-FinPerf RE'!F22</f>
        <v>316311951.80000001</v>
      </c>
      <c r="H60" s="353">
        <f>'C4-FinPerf RE'!G7+'C4-FinPerf RE'!G8+'C4-FinPerf RE'!G9+'C4-FinPerf RE'!G10+'C4-FinPerf RE'!G22</f>
        <v>3255298148.6500001</v>
      </c>
    </row>
    <row r="61" spans="1:8" ht="12.75" customHeight="1" x14ac:dyDescent="0.25">
      <c r="A61" s="32" t="s">
        <v>409</v>
      </c>
      <c r="B61" s="21" t="s">
        <v>410</v>
      </c>
      <c r="D61" s="58">
        <f>'C6-FinPos'!C7+'C6-FinPos'!C16-'C6-FinPos'!C30</f>
        <v>272466860.55000001</v>
      </c>
      <c r="E61" s="58">
        <f>'C6-FinPos'!D7+'C6-FinPos'!D16-'C6-FinPos'!D30</f>
        <v>505852550.83999997</v>
      </c>
      <c r="F61" s="58">
        <f>'C6-FinPos'!E7+'C6-FinPos'!E16-'C6-FinPos'!E30</f>
        <v>147423883.05000001</v>
      </c>
      <c r="G61" s="58">
        <f>'C6-FinPos'!F7+'C6-FinPos'!F16-'C6-FinPos'!F30</f>
        <v>554189295.71000004</v>
      </c>
      <c r="H61" s="353">
        <f>'C6-FinPos'!G7+'C6-FinPos'!G16-'C6-FinPos'!G30</f>
        <v>147423883.05000001</v>
      </c>
    </row>
    <row r="62" spans="1:8" ht="12.75" customHeight="1" x14ac:dyDescent="0.25">
      <c r="A62" s="32" t="s">
        <v>673</v>
      </c>
      <c r="D62" s="466"/>
      <c r="E62" s="466"/>
      <c r="F62" s="466"/>
      <c r="G62" s="466"/>
      <c r="H62" s="467"/>
    </row>
    <row r="63" spans="1:8" ht="12.75" customHeight="1" x14ac:dyDescent="0.25">
      <c r="A63" s="32" t="s">
        <v>726</v>
      </c>
      <c r="D63" s="468">
        <f>'C6-FinPos'!C23+'C6-FinPos'!C24</f>
        <v>0</v>
      </c>
      <c r="E63" s="468">
        <f>'C6-FinPos'!D23+'C6-FinPos'!D24</f>
        <v>0</v>
      </c>
      <c r="F63" s="468">
        <f>'C6-FinPos'!E23+'C6-FinPos'!E24</f>
        <v>0</v>
      </c>
      <c r="G63" s="469">
        <f>'C6-FinPos'!F23+'C6-FinPos'!F24</f>
        <v>0</v>
      </c>
      <c r="H63" s="470">
        <f>'C6-FinPos'!G23+'C6-FinPos'!G24</f>
        <v>0</v>
      </c>
    </row>
    <row r="64" spans="1:8" ht="12.75" customHeight="1" x14ac:dyDescent="0.25">
      <c r="A64" s="32" t="s">
        <v>672</v>
      </c>
      <c r="D64" s="471"/>
      <c r="E64" s="471"/>
      <c r="F64" s="471"/>
      <c r="G64" s="471"/>
      <c r="H64" s="472"/>
    </row>
    <row r="65" spans="1:8" ht="12.75" customHeight="1" x14ac:dyDescent="0.25">
      <c r="A65" s="61" t="s">
        <v>727</v>
      </c>
      <c r="B65" s="473"/>
      <c r="C65" s="473"/>
      <c r="D65" s="474"/>
      <c r="E65" s="475"/>
      <c r="F65" s="475"/>
      <c r="G65" s="475"/>
      <c r="H65" s="476"/>
    </row>
  </sheetData>
  <mergeCells count="4">
    <mergeCell ref="A2:A3"/>
    <mergeCell ref="B2:B3"/>
    <mergeCell ref="C2:C3"/>
    <mergeCell ref="A1:H1"/>
  </mergeCells>
  <phoneticPr fontId="2" type="noConversion"/>
  <printOptions horizontalCentered="1"/>
  <pageMargins left="0.35433070866141736" right="0.19685039370078741" top="0.51181102362204722" bottom="0.39370078740157483" header="0.51181102362204722" footer="0.39370078740157483"/>
  <pageSetup paperSize="8" scale="120" orientation="portrait" r:id="rId1"/>
  <headerFooter alignWithMargins="0">
    <oddFooter>&amp;L&amp;F&amp;C&amp;A&amp;R&amp;D</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sheetPr>
  <dimension ref="A1:O50"/>
  <sheetViews>
    <sheetView showGridLines="0" zoomScaleNormal="100" workbookViewId="0">
      <pane xSplit="1" ySplit="3" topLeftCell="B4" activePane="bottomRight" state="frozen"/>
      <selection pane="topRight"/>
      <selection pane="bottomLeft"/>
      <selection pane="bottomRight" sqref="A1:M1"/>
    </sheetView>
  </sheetViews>
  <sheetFormatPr defaultColWidth="9.28515625" defaultRowHeight="21.75" customHeight="1" x14ac:dyDescent="0.25"/>
  <cols>
    <col min="1" max="1" width="48.42578125" style="21" customWidth="1"/>
    <col min="2" max="2" width="5.28515625" style="21" bestFit="1" customWidth="1"/>
    <col min="3" max="12" width="8.7109375" style="21" customWidth="1"/>
    <col min="13" max="14" width="10.5703125" style="21" customWidth="1"/>
    <col min="15" max="15" width="8.7109375" style="21" customWidth="1"/>
    <col min="16" max="16384" width="9.28515625" style="21"/>
  </cols>
  <sheetData>
    <row r="1" spans="1:15" ht="13.35" customHeight="1" x14ac:dyDescent="0.25">
      <c r="A1" s="848" t="str">
        <f>muni&amp; " - "&amp;S71I&amp; " - "&amp;Head57</f>
        <v>KZN282 uMhlathuze - Supporting Table SC3 Monthly Budget Statement - aged debtors - M10 April</v>
      </c>
      <c r="B1" s="848"/>
      <c r="C1" s="854"/>
      <c r="D1" s="854"/>
      <c r="E1" s="854"/>
      <c r="F1" s="854"/>
      <c r="G1" s="854"/>
      <c r="H1" s="854"/>
      <c r="I1" s="854"/>
      <c r="J1" s="854"/>
      <c r="K1" s="854"/>
      <c r="L1" s="854"/>
      <c r="M1" s="854"/>
      <c r="N1" s="477"/>
      <c r="O1" s="281"/>
    </row>
    <row r="2" spans="1:15" ht="13.35" customHeight="1" x14ac:dyDescent="0.25">
      <c r="A2" s="408" t="str">
        <f>desc</f>
        <v>Description</v>
      </c>
      <c r="B2" s="478"/>
      <c r="C2" s="855" t="str">
        <f>Head2</f>
        <v>Budget Year 2024/25</v>
      </c>
      <c r="D2" s="856"/>
      <c r="E2" s="856"/>
      <c r="F2" s="856"/>
      <c r="G2" s="856"/>
      <c r="H2" s="856"/>
      <c r="I2" s="856"/>
      <c r="J2" s="856"/>
      <c r="K2" s="856"/>
      <c r="L2" s="856"/>
      <c r="M2" s="856"/>
      <c r="N2" s="857"/>
      <c r="O2" s="479"/>
    </row>
    <row r="3" spans="1:15" ht="52.5" customHeight="1" x14ac:dyDescent="0.25">
      <c r="A3" s="480" t="s">
        <v>615</v>
      </c>
      <c r="B3" s="481" t="s">
        <v>682</v>
      </c>
      <c r="C3" s="482" t="s">
        <v>13</v>
      </c>
      <c r="D3" s="483" t="s">
        <v>14</v>
      </c>
      <c r="E3" s="483" t="s">
        <v>15</v>
      </c>
      <c r="F3" s="483" t="s">
        <v>16</v>
      </c>
      <c r="G3" s="483" t="s">
        <v>17</v>
      </c>
      <c r="H3" s="483" t="s">
        <v>18</v>
      </c>
      <c r="I3" s="483" t="s">
        <v>19</v>
      </c>
      <c r="J3" s="484" t="s">
        <v>20</v>
      </c>
      <c r="K3" s="485" t="s">
        <v>41</v>
      </c>
      <c r="L3" s="485" t="s">
        <v>1007</v>
      </c>
      <c r="M3" s="485" t="s">
        <v>1008</v>
      </c>
      <c r="N3" s="485" t="s">
        <v>995</v>
      </c>
      <c r="O3" s="486"/>
    </row>
    <row r="4" spans="1:15" ht="12.75" x14ac:dyDescent="0.25">
      <c r="A4" s="59" t="s">
        <v>983</v>
      </c>
      <c r="B4" s="90"/>
      <c r="C4" s="123"/>
      <c r="D4" s="87"/>
      <c r="E4" s="87"/>
      <c r="F4" s="87"/>
      <c r="G4" s="87"/>
      <c r="H4" s="343"/>
      <c r="I4" s="503"/>
      <c r="J4" s="487"/>
      <c r="K4" s="88"/>
      <c r="L4" s="88"/>
      <c r="M4" s="488"/>
      <c r="N4" s="488"/>
      <c r="O4" s="32"/>
    </row>
    <row r="5" spans="1:15" ht="12.75" customHeight="1" x14ac:dyDescent="0.25">
      <c r="A5" s="30" t="s">
        <v>984</v>
      </c>
      <c r="B5" s="90">
        <v>1200</v>
      </c>
      <c r="C5" s="366">
        <f>SC3Q!D4</f>
        <v>108487882.62</v>
      </c>
      <c r="D5" s="331">
        <f>SC3Q!E4</f>
        <v>8204712.5800000001</v>
      </c>
      <c r="E5" s="331">
        <f>SC3Q!F4</f>
        <v>12116224.359999999</v>
      </c>
      <c r="F5" s="331">
        <f>SC3Q!G4</f>
        <v>6946969.6799999997</v>
      </c>
      <c r="G5" s="331">
        <f>SC3Q!H4</f>
        <v>3988797.92</v>
      </c>
      <c r="H5" s="331">
        <f>SC3Q!I4</f>
        <v>7071221.3300000001</v>
      </c>
      <c r="I5" s="331">
        <f>SC3Q!J4</f>
        <v>34409501.530000001</v>
      </c>
      <c r="J5" s="415">
        <f>SC3Q!K4</f>
        <v>157504963.66</v>
      </c>
      <c r="K5" s="74">
        <f>SUM(C5:J5)</f>
        <v>338730273.68000001</v>
      </c>
      <c r="L5" s="74">
        <f>SUM(F5:J5)</f>
        <v>209921454.12</v>
      </c>
      <c r="M5" s="367">
        <f>SC3Q!M4</f>
        <v>0</v>
      </c>
      <c r="N5" s="415">
        <v>-86358052.579999998</v>
      </c>
      <c r="O5" s="489"/>
    </row>
    <row r="6" spans="1:15" ht="12.75" customHeight="1" x14ac:dyDescent="0.25">
      <c r="A6" s="30" t="s">
        <v>986</v>
      </c>
      <c r="B6" s="90">
        <v>1300</v>
      </c>
      <c r="C6" s="366">
        <f>SC3Q!D5</f>
        <v>234277074.55000001</v>
      </c>
      <c r="D6" s="331">
        <f>SC3Q!E5</f>
        <v>5190941.9400000004</v>
      </c>
      <c r="E6" s="331">
        <f>SC3Q!F5</f>
        <v>3575890.71</v>
      </c>
      <c r="F6" s="331">
        <f>SC3Q!G5</f>
        <v>1840584.52</v>
      </c>
      <c r="G6" s="331">
        <f>SC3Q!H5</f>
        <v>1008989.95</v>
      </c>
      <c r="H6" s="331">
        <f>SC3Q!I5</f>
        <v>1706346.07</v>
      </c>
      <c r="I6" s="331">
        <f>SC3Q!J5</f>
        <v>7302063.8499999996</v>
      </c>
      <c r="J6" s="415">
        <f>SC3Q!K5</f>
        <v>5440520.3700000001</v>
      </c>
      <c r="K6" s="74">
        <f>SUM(C6:J6)</f>
        <v>260342411.96000001</v>
      </c>
      <c r="L6" s="74">
        <f t="shared" ref="L6:L12" si="0">SUM(F6:J6)</f>
        <v>17298504.760000002</v>
      </c>
      <c r="M6" s="367">
        <f>SC3Q!M5</f>
        <v>0</v>
      </c>
      <c r="N6" s="415">
        <v>-164457854.97</v>
      </c>
      <c r="O6" s="489"/>
    </row>
    <row r="7" spans="1:15" ht="12.75" customHeight="1" x14ac:dyDescent="0.25">
      <c r="A7" s="30" t="s">
        <v>985</v>
      </c>
      <c r="B7" s="90">
        <v>1400</v>
      </c>
      <c r="C7" s="366">
        <f>SC3Q!D6</f>
        <v>61642335.43</v>
      </c>
      <c r="D7" s="331">
        <f>SC3Q!E6</f>
        <v>6854850.5800000001</v>
      </c>
      <c r="E7" s="331">
        <f>SC3Q!F6</f>
        <v>5337854.29</v>
      </c>
      <c r="F7" s="331">
        <f>SC3Q!G6</f>
        <v>4210400.33</v>
      </c>
      <c r="G7" s="331">
        <f>SC3Q!H6</f>
        <v>2907713.86</v>
      </c>
      <c r="H7" s="331">
        <f>SC3Q!I6</f>
        <v>3716929.11</v>
      </c>
      <c r="I7" s="331">
        <f>SC3Q!J6</f>
        <v>40140834.950000003</v>
      </c>
      <c r="J7" s="415">
        <f>SC3Q!K6</f>
        <v>71959644.780000001</v>
      </c>
      <c r="K7" s="74">
        <f t="shared" ref="K7:K13" si="1">SUM(C7:J7)</f>
        <v>196770563.33000001</v>
      </c>
      <c r="L7" s="74">
        <f t="shared" si="0"/>
        <v>122935523.03</v>
      </c>
      <c r="M7" s="367">
        <f>SC3Q!M6</f>
        <v>0</v>
      </c>
      <c r="N7" s="415">
        <v>-50508687</v>
      </c>
      <c r="O7" s="489"/>
    </row>
    <row r="8" spans="1:15" ht="12.75" customHeight="1" x14ac:dyDescent="0.25">
      <c r="A8" s="30" t="s">
        <v>987</v>
      </c>
      <c r="B8" s="90">
        <v>1500</v>
      </c>
      <c r="C8" s="366">
        <f>SC3Q!D7</f>
        <v>13536936.470000001</v>
      </c>
      <c r="D8" s="331">
        <f>SC3Q!E7</f>
        <v>1469762.47</v>
      </c>
      <c r="E8" s="331">
        <f>SC3Q!F7</f>
        <v>1994633.86</v>
      </c>
      <c r="F8" s="331">
        <f>SC3Q!G7</f>
        <v>1201619.03</v>
      </c>
      <c r="G8" s="331">
        <f>SC3Q!H7</f>
        <v>836932.76</v>
      </c>
      <c r="H8" s="331">
        <f>SC3Q!I7</f>
        <v>1206452.3799999999</v>
      </c>
      <c r="I8" s="331">
        <f>SC3Q!J7</f>
        <v>4722879.28</v>
      </c>
      <c r="J8" s="415">
        <f>SC3Q!K7</f>
        <v>11963926.890000001</v>
      </c>
      <c r="K8" s="74">
        <f t="shared" si="1"/>
        <v>36933143.140000001</v>
      </c>
      <c r="L8" s="74">
        <f t="shared" si="0"/>
        <v>19931810.34</v>
      </c>
      <c r="M8" s="367">
        <f>SC3Q!M7</f>
        <v>0</v>
      </c>
      <c r="N8" s="415">
        <v>-11731403.699999999</v>
      </c>
      <c r="O8" s="489"/>
    </row>
    <row r="9" spans="1:15" ht="12.75" customHeight="1" x14ac:dyDescent="0.25">
      <c r="A9" s="30" t="s">
        <v>988</v>
      </c>
      <c r="B9" s="90">
        <v>1600</v>
      </c>
      <c r="C9" s="366">
        <f>SC3Q!D8</f>
        <v>11814294.720000001</v>
      </c>
      <c r="D9" s="331">
        <f>SC3Q!E8</f>
        <v>845161</v>
      </c>
      <c r="E9" s="331">
        <f>SC3Q!F8</f>
        <v>2487126.11</v>
      </c>
      <c r="F9" s="331">
        <f>SC3Q!G8</f>
        <v>1422930.77</v>
      </c>
      <c r="G9" s="331">
        <f>SC3Q!H8</f>
        <v>451849.52</v>
      </c>
      <c r="H9" s="331">
        <f>SC3Q!I8</f>
        <v>1380314.46</v>
      </c>
      <c r="I9" s="331">
        <f>SC3Q!J8</f>
        <v>5177854.22</v>
      </c>
      <c r="J9" s="415">
        <f>SC3Q!K8</f>
        <v>7998614.7400000002</v>
      </c>
      <c r="K9" s="74">
        <f t="shared" si="1"/>
        <v>31578145.539999999</v>
      </c>
      <c r="L9" s="74">
        <f>SUM(F9:J9)</f>
        <v>16431563.709999999</v>
      </c>
      <c r="M9" s="367">
        <f>SC3Q!M8</f>
        <v>0</v>
      </c>
      <c r="N9" s="415">
        <v>-10144828.699999999</v>
      </c>
      <c r="O9" s="489"/>
    </row>
    <row r="10" spans="1:15" ht="12.75" customHeight="1" x14ac:dyDescent="0.25">
      <c r="A10" s="30" t="s">
        <v>989</v>
      </c>
      <c r="B10" s="90">
        <v>1700</v>
      </c>
      <c r="C10" s="366">
        <f>SC3Q!D9</f>
        <v>3658271.41</v>
      </c>
      <c r="D10" s="331">
        <f>SC3Q!E9</f>
        <v>549534.31000000006</v>
      </c>
      <c r="E10" s="331">
        <f>SC3Q!F9</f>
        <v>1513293.9</v>
      </c>
      <c r="F10" s="331">
        <f>SC3Q!G9</f>
        <v>1298025.82</v>
      </c>
      <c r="G10" s="331">
        <f>SC3Q!H9</f>
        <v>665900.4</v>
      </c>
      <c r="H10" s="331">
        <f>SC3Q!I9</f>
        <v>2432246.08</v>
      </c>
      <c r="I10" s="331">
        <f>SC3Q!J9</f>
        <v>9489866.5800000001</v>
      </c>
      <c r="J10" s="415">
        <f>SC3Q!K9</f>
        <v>27685003.199999999</v>
      </c>
      <c r="K10" s="74">
        <f t="shared" si="1"/>
        <v>47292141.700000003</v>
      </c>
      <c r="L10" s="74">
        <f>SUM(F10:J10)</f>
        <v>41571042.079999998</v>
      </c>
      <c r="M10" s="367">
        <f>SC3Q!M9</f>
        <v>0</v>
      </c>
      <c r="N10" s="415">
        <v>-7100000</v>
      </c>
      <c r="O10" s="489"/>
    </row>
    <row r="11" spans="1:15" ht="12.75" customHeight="1" x14ac:dyDescent="0.25">
      <c r="A11" s="30" t="s">
        <v>990</v>
      </c>
      <c r="B11" s="90">
        <v>1810</v>
      </c>
      <c r="C11" s="366">
        <f>SC3Q!D10</f>
        <v>202473.61</v>
      </c>
      <c r="D11" s="331">
        <f>SC3Q!E10</f>
        <v>40876.620000000003</v>
      </c>
      <c r="E11" s="331">
        <f>SC3Q!F10</f>
        <v>22695.8</v>
      </c>
      <c r="F11" s="331">
        <f>SC3Q!G10</f>
        <v>28735.279999999999</v>
      </c>
      <c r="G11" s="331">
        <f>SC3Q!H10</f>
        <v>23474.47</v>
      </c>
      <c r="H11" s="331">
        <f>SC3Q!I10</f>
        <v>25959.17</v>
      </c>
      <c r="I11" s="331">
        <f>SC3Q!J10</f>
        <v>138633.41</v>
      </c>
      <c r="J11" s="415">
        <f>SC3Q!K10</f>
        <v>1851100.44</v>
      </c>
      <c r="K11" s="74">
        <f t="shared" si="1"/>
        <v>2333948.7999999998</v>
      </c>
      <c r="L11" s="74">
        <f t="shared" si="0"/>
        <v>2067902.77</v>
      </c>
      <c r="M11" s="367">
        <f>SC3Q!M10</f>
        <v>0</v>
      </c>
      <c r="N11" s="367"/>
      <c r="O11" s="489"/>
    </row>
    <row r="12" spans="1:15" ht="12.75" customHeight="1" x14ac:dyDescent="0.25">
      <c r="A12" s="30" t="s">
        <v>991</v>
      </c>
      <c r="B12" s="90">
        <v>1820</v>
      </c>
      <c r="C12" s="366">
        <f>SC3Q!D11</f>
        <v>0</v>
      </c>
      <c r="D12" s="331">
        <f>SC3Q!E11</f>
        <v>0</v>
      </c>
      <c r="E12" s="331">
        <f>SC3Q!F11</f>
        <v>0</v>
      </c>
      <c r="F12" s="331">
        <f>SC3Q!G11</f>
        <v>0</v>
      </c>
      <c r="G12" s="331">
        <f>SC3Q!H11</f>
        <v>0</v>
      </c>
      <c r="H12" s="331">
        <f>SC3Q!I11</f>
        <v>0</v>
      </c>
      <c r="I12" s="331">
        <f>SC3Q!J11</f>
        <v>0</v>
      </c>
      <c r="J12" s="415">
        <f>SC3Q!K11</f>
        <v>0</v>
      </c>
      <c r="K12" s="74">
        <f t="shared" si="1"/>
        <v>0</v>
      </c>
      <c r="L12" s="74">
        <f t="shared" si="0"/>
        <v>0</v>
      </c>
      <c r="M12" s="367">
        <f>SC3Q!M11</f>
        <v>0</v>
      </c>
      <c r="N12" s="367"/>
      <c r="O12" s="489"/>
    </row>
    <row r="13" spans="1:15" ht="12.75" customHeight="1" x14ac:dyDescent="0.25">
      <c r="A13" s="30" t="s">
        <v>666</v>
      </c>
      <c r="B13" s="90">
        <v>1900</v>
      </c>
      <c r="C13" s="366">
        <f>SC3Q!D12</f>
        <v>5009925.91</v>
      </c>
      <c r="D13" s="331">
        <f>SC3Q!E12</f>
        <v>437166.64</v>
      </c>
      <c r="E13" s="331">
        <f>SC3Q!F12</f>
        <v>1115426.93</v>
      </c>
      <c r="F13" s="331">
        <f>SC3Q!G12</f>
        <v>536856.44999999995</v>
      </c>
      <c r="G13" s="331">
        <f>SC3Q!H12</f>
        <v>861601.83</v>
      </c>
      <c r="H13" s="331">
        <f>SC3Q!I12</f>
        <v>462182.34</v>
      </c>
      <c r="I13" s="331">
        <f>SC3Q!J12</f>
        <v>3715268.7</v>
      </c>
      <c r="J13" s="415">
        <f>SC3Q!K12</f>
        <v>27775343</v>
      </c>
      <c r="K13" s="74">
        <f t="shared" si="1"/>
        <v>39913771.799999997</v>
      </c>
      <c r="L13" s="74">
        <f>SUM(F13:J13)</f>
        <v>33351252.32</v>
      </c>
      <c r="M13" s="367">
        <f>SC3Q!M12</f>
        <v>0</v>
      </c>
      <c r="N13" s="367">
        <f>SC3Q!N12</f>
        <v>0</v>
      </c>
      <c r="O13" s="489"/>
    </row>
    <row r="14" spans="1:15" ht="12.75" customHeight="1" x14ac:dyDescent="0.25">
      <c r="A14" s="40" t="s">
        <v>992</v>
      </c>
      <c r="B14" s="490">
        <v>2000</v>
      </c>
      <c r="C14" s="42">
        <f t="shared" ref="C14:N14" si="2">SUM(C5:C13)</f>
        <v>438629194.72000015</v>
      </c>
      <c r="D14" s="41">
        <f t="shared" si="2"/>
        <v>23593006.140000001</v>
      </c>
      <c r="E14" s="41">
        <f t="shared" si="2"/>
        <v>28163145.959999997</v>
      </c>
      <c r="F14" s="41">
        <f t="shared" si="2"/>
        <v>17486121.879999999</v>
      </c>
      <c r="G14" s="41">
        <f t="shared" si="2"/>
        <v>10745260.710000001</v>
      </c>
      <c r="H14" s="41">
        <f t="shared" si="2"/>
        <v>18001650.940000001</v>
      </c>
      <c r="I14" s="41">
        <f t="shared" si="2"/>
        <v>105096902.52000001</v>
      </c>
      <c r="J14" s="374">
        <f t="shared" si="2"/>
        <v>312179117.07999998</v>
      </c>
      <c r="K14" s="71">
        <f t="shared" si="2"/>
        <v>953894399.94999993</v>
      </c>
      <c r="L14" s="71">
        <f>SUM(L5:L13)</f>
        <v>463509053.12999988</v>
      </c>
      <c r="M14" s="491">
        <f t="shared" si="2"/>
        <v>0</v>
      </c>
      <c r="N14" s="491">
        <f t="shared" si="2"/>
        <v>-330300826.94999999</v>
      </c>
      <c r="O14" s="492"/>
    </row>
    <row r="15" spans="1:15" ht="12.75" customHeight="1" x14ac:dyDescent="0.25">
      <c r="A15" s="159" t="str">
        <f>Head1&amp;" - totals only"</f>
        <v>2023/24 - totals only</v>
      </c>
      <c r="B15" s="493"/>
      <c r="C15" s="494"/>
      <c r="D15" s="495"/>
      <c r="E15" s="495"/>
      <c r="F15" s="495"/>
      <c r="G15" s="495"/>
      <c r="H15" s="495"/>
      <c r="I15" s="495"/>
      <c r="J15" s="499"/>
      <c r="K15" s="497">
        <f>SUM(C15:J15)</f>
        <v>0</v>
      </c>
      <c r="L15" s="498">
        <f>SUM(F15:J15)</f>
        <v>0</v>
      </c>
      <c r="M15" s="496"/>
      <c r="N15" s="499"/>
      <c r="O15" s="37"/>
    </row>
    <row r="16" spans="1:15" ht="12.75" customHeight="1" x14ac:dyDescent="0.25">
      <c r="A16" s="59" t="s">
        <v>996</v>
      </c>
      <c r="B16" s="90"/>
      <c r="C16" s="36"/>
      <c r="D16" s="34"/>
      <c r="E16" s="34"/>
      <c r="F16" s="34"/>
      <c r="G16" s="34"/>
      <c r="H16" s="34"/>
      <c r="I16" s="34"/>
      <c r="J16" s="33"/>
      <c r="K16" s="74"/>
      <c r="L16" s="35"/>
      <c r="M16" s="35"/>
      <c r="N16" s="500"/>
    </row>
    <row r="17" spans="1:14" ht="12.75" customHeight="1" x14ac:dyDescent="0.25">
      <c r="A17" s="30" t="s">
        <v>993</v>
      </c>
      <c r="B17" s="90">
        <v>2200</v>
      </c>
      <c r="C17" s="366">
        <f>SC3Q!D15</f>
        <v>170177105.43000001</v>
      </c>
      <c r="D17" s="331">
        <f>SC3Q!E15</f>
        <v>5188173.82</v>
      </c>
      <c r="E17" s="331">
        <f>SC3Q!F15</f>
        <v>6360407.3899999997</v>
      </c>
      <c r="F17" s="331">
        <f>SC3Q!G15</f>
        <v>2990626.55</v>
      </c>
      <c r="G17" s="331">
        <f>SC3Q!H15</f>
        <v>873981.27</v>
      </c>
      <c r="H17" s="331">
        <f>SC3Q!I15</f>
        <v>3278267.2</v>
      </c>
      <c r="I17" s="331">
        <f>SC3Q!J15</f>
        <v>35834017.990000002</v>
      </c>
      <c r="J17" s="415">
        <f>SC3Q!K15</f>
        <v>61733358.619999997</v>
      </c>
      <c r="K17" s="74">
        <f>SUM(C17:J17)</f>
        <v>286435938.26999998</v>
      </c>
      <c r="L17" s="35">
        <f>SUM(F17:J17)</f>
        <v>104710251.63</v>
      </c>
      <c r="M17" s="367">
        <f>SC3Q!M15</f>
        <v>0</v>
      </c>
      <c r="N17" s="367">
        <f>SC3Q!N15</f>
        <v>0</v>
      </c>
    </row>
    <row r="18" spans="1:14" ht="12.75" customHeight="1" x14ac:dyDescent="0.25">
      <c r="A18" s="30" t="s">
        <v>994</v>
      </c>
      <c r="B18" s="90">
        <v>2300</v>
      </c>
      <c r="C18" s="366">
        <f>SC3Q!D16</f>
        <v>197777027.81999999</v>
      </c>
      <c r="D18" s="331">
        <f>SC3Q!E16</f>
        <v>8760623.5999999996</v>
      </c>
      <c r="E18" s="331">
        <f>SC3Q!F16</f>
        <v>7095359.9000000004</v>
      </c>
      <c r="F18" s="331">
        <f>SC3Q!G16</f>
        <v>4822516.78</v>
      </c>
      <c r="G18" s="331">
        <f>SC3Q!H16</f>
        <v>3129216.1</v>
      </c>
      <c r="H18" s="331">
        <f>SC3Q!I16</f>
        <v>4880032.7300000004</v>
      </c>
      <c r="I18" s="331">
        <f>SC3Q!J16</f>
        <v>21009021.75</v>
      </c>
      <c r="J18" s="415">
        <f>SC3Q!K16</f>
        <v>93052143.469999999</v>
      </c>
      <c r="K18" s="74">
        <f>SUM(C18:J18)</f>
        <v>340525942.14999998</v>
      </c>
      <c r="L18" s="35">
        <f>SUM(F18:J18)</f>
        <v>126892930.83</v>
      </c>
      <c r="M18" s="367">
        <f>SC3Q!M16</f>
        <v>0</v>
      </c>
      <c r="N18" s="367">
        <f>SC3Q!N16</f>
        <v>0</v>
      </c>
    </row>
    <row r="19" spans="1:14" ht="12.75" customHeight="1" x14ac:dyDescent="0.25">
      <c r="A19" s="30" t="s">
        <v>633</v>
      </c>
      <c r="B19" s="90">
        <v>2400</v>
      </c>
      <c r="C19" s="366">
        <f>SC3Q!D17</f>
        <v>69507396.569999993</v>
      </c>
      <c r="D19" s="331">
        <f>SC3Q!E17</f>
        <v>9320797.4900000002</v>
      </c>
      <c r="E19" s="331">
        <f>SC3Q!F17</f>
        <v>14234026.83</v>
      </c>
      <c r="F19" s="331">
        <f>SC3Q!G17</f>
        <v>9282505.1099999994</v>
      </c>
      <c r="G19" s="331">
        <f>SC3Q!H17</f>
        <v>6362016.7199999997</v>
      </c>
      <c r="H19" s="331">
        <f>SC3Q!I17</f>
        <v>9026176.4499999993</v>
      </c>
      <c r="I19" s="331">
        <f>SC3Q!J17</f>
        <v>45932231.030000001</v>
      </c>
      <c r="J19" s="415">
        <f>SC3Q!K17</f>
        <v>150172557.05000001</v>
      </c>
      <c r="K19" s="74">
        <f>SUM(C19:J19)</f>
        <v>313837707.25</v>
      </c>
      <c r="L19" s="35">
        <f>SUM(F19:J19)</f>
        <v>220775486.36000001</v>
      </c>
      <c r="M19" s="367">
        <f>SC3Q!M17</f>
        <v>0</v>
      </c>
      <c r="N19" s="367">
        <f>SC3Q!N17</f>
        <v>0</v>
      </c>
    </row>
    <row r="20" spans="1:14" ht="12.75" customHeight="1" x14ac:dyDescent="0.25">
      <c r="A20" s="30" t="s">
        <v>666</v>
      </c>
      <c r="B20" s="90">
        <v>2500</v>
      </c>
      <c r="C20" s="391">
        <f>SC3Q!D18</f>
        <v>1167664.8999999999</v>
      </c>
      <c r="D20" s="392">
        <f>SC3Q!E18</f>
        <v>323411.23</v>
      </c>
      <c r="E20" s="392">
        <f>SC3Q!F18</f>
        <v>473351.84</v>
      </c>
      <c r="F20" s="392">
        <f>SC3Q!G18</f>
        <v>390473.44</v>
      </c>
      <c r="G20" s="392">
        <f>SC3Q!H18</f>
        <v>380046.62</v>
      </c>
      <c r="H20" s="392">
        <f>SC3Q!I18</f>
        <v>817174.56</v>
      </c>
      <c r="I20" s="392">
        <f>SC3Q!J18</f>
        <v>2321631.75</v>
      </c>
      <c r="J20" s="415">
        <f>SC3Q!K18</f>
        <v>7221057.9400000004</v>
      </c>
      <c r="K20" s="74">
        <f>SUM(C20:J20)</f>
        <v>13094812.280000001</v>
      </c>
      <c r="L20" s="35">
        <f>SUM(F20:J20)</f>
        <v>11130384.310000001</v>
      </c>
      <c r="M20" s="367">
        <f>SC3Q!M18</f>
        <v>0</v>
      </c>
      <c r="N20" s="367">
        <f>SC3Q!N18</f>
        <v>0</v>
      </c>
    </row>
    <row r="21" spans="1:14" ht="12.75" customHeight="1" x14ac:dyDescent="0.25">
      <c r="A21" s="40" t="s">
        <v>997</v>
      </c>
      <c r="B21" s="490">
        <v>2600</v>
      </c>
      <c r="C21" s="42">
        <f t="shared" ref="C21:I21" si="3">SUM(C17:C20)</f>
        <v>438629194.71999997</v>
      </c>
      <c r="D21" s="41">
        <f t="shared" si="3"/>
        <v>23593006.140000001</v>
      </c>
      <c r="E21" s="41">
        <f t="shared" si="3"/>
        <v>28163145.959999997</v>
      </c>
      <c r="F21" s="41">
        <f t="shared" si="3"/>
        <v>17486121.879999999</v>
      </c>
      <c r="G21" s="41">
        <f t="shared" si="3"/>
        <v>10745260.709999999</v>
      </c>
      <c r="H21" s="41">
        <f t="shared" si="3"/>
        <v>18001650.939999998</v>
      </c>
      <c r="I21" s="41">
        <f t="shared" si="3"/>
        <v>105096902.52000001</v>
      </c>
      <c r="J21" s="373">
        <f>SUM(J17:J20)</f>
        <v>312179117.07999998</v>
      </c>
      <c r="K21" s="71">
        <f>SUM(K17:K20)</f>
        <v>953894399.94999993</v>
      </c>
      <c r="L21" s="491">
        <f>SUM(L17:L20)</f>
        <v>463509053.13</v>
      </c>
      <c r="M21" s="491">
        <f>SUM(M17:M20)</f>
        <v>0</v>
      </c>
      <c r="N21" s="138">
        <f>SUM(N17:N20)</f>
        <v>0</v>
      </c>
    </row>
    <row r="22" spans="1:14" ht="12.75" customHeight="1" x14ac:dyDescent="0.25">
      <c r="A22" s="64" t="s">
        <v>732</v>
      </c>
      <c r="B22" s="317"/>
      <c r="C22" s="37"/>
      <c r="D22" s="37"/>
      <c r="E22" s="37"/>
      <c r="F22" s="37"/>
      <c r="G22" s="37"/>
      <c r="H22" s="37"/>
      <c r="I22" s="37"/>
      <c r="J22" s="37"/>
      <c r="K22" s="37"/>
      <c r="L22" s="37"/>
      <c r="M22" s="37"/>
      <c r="N22" s="37"/>
    </row>
    <row r="23" spans="1:14" ht="12.75" x14ac:dyDescent="0.25">
      <c r="A23" s="73" t="s">
        <v>570</v>
      </c>
    </row>
    <row r="24" spans="1:14" ht="12.75" x14ac:dyDescent="0.25">
      <c r="A24" s="73" t="s">
        <v>489</v>
      </c>
    </row>
    <row r="25" spans="1:14" ht="12.75" x14ac:dyDescent="0.25">
      <c r="A25" s="73" t="s">
        <v>998</v>
      </c>
    </row>
    <row r="26" spans="1:14" ht="12.75" x14ac:dyDescent="0.25">
      <c r="C26" s="33">
        <f>C14-C21</f>
        <v>0</v>
      </c>
      <c r="D26" s="33">
        <f>D14-D21</f>
        <v>0</v>
      </c>
      <c r="E26" s="33">
        <f t="shared" ref="E26:K26" si="4">E14-E21</f>
        <v>0</v>
      </c>
      <c r="F26" s="33">
        <f t="shared" si="4"/>
        <v>0</v>
      </c>
      <c r="G26" s="33">
        <f t="shared" si="4"/>
        <v>0</v>
      </c>
      <c r="H26" s="33">
        <f t="shared" si="4"/>
        <v>0</v>
      </c>
      <c r="I26" s="33">
        <f t="shared" si="4"/>
        <v>0</v>
      </c>
      <c r="J26" s="33">
        <f>J14-J21</f>
        <v>0</v>
      </c>
      <c r="K26" s="33">
        <f t="shared" si="4"/>
        <v>0</v>
      </c>
      <c r="L26" s="33"/>
    </row>
    <row r="27" spans="1:14" ht="12.75" x14ac:dyDescent="0.25">
      <c r="C27" s="501" t="str">
        <f>IF(C26=0,"","MUST AGREE")</f>
        <v/>
      </c>
      <c r="D27" s="501" t="str">
        <f t="shared" ref="D27:K27" si="5">IF(D26=0,"","MUST AGREE")</f>
        <v/>
      </c>
      <c r="E27" s="501" t="str">
        <f t="shared" si="5"/>
        <v/>
      </c>
      <c r="F27" s="501" t="str">
        <f t="shared" si="5"/>
        <v/>
      </c>
      <c r="G27" s="501" t="str">
        <f t="shared" si="5"/>
        <v/>
      </c>
      <c r="H27" s="501" t="str">
        <f t="shared" si="5"/>
        <v/>
      </c>
      <c r="I27" s="501" t="str">
        <f t="shared" si="5"/>
        <v/>
      </c>
      <c r="J27" s="501" t="str">
        <f t="shared" si="5"/>
        <v/>
      </c>
      <c r="K27" s="501" t="str">
        <f t="shared" si="5"/>
        <v/>
      </c>
      <c r="L27" s="501"/>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65" customHeight="1" x14ac:dyDescent="0.25"/>
    <row r="40" ht="11.65" customHeight="1" x14ac:dyDescent="0.25"/>
    <row r="41" ht="11.65" customHeight="1" x14ac:dyDescent="0.25"/>
    <row r="42" ht="11.65" customHeight="1" x14ac:dyDescent="0.25"/>
    <row r="43" ht="11.65" customHeight="1" x14ac:dyDescent="0.25"/>
    <row r="44" ht="11.65" customHeight="1" x14ac:dyDescent="0.25"/>
    <row r="45" ht="11.65" customHeight="1" x14ac:dyDescent="0.25"/>
    <row r="46" ht="11.65" customHeight="1" x14ac:dyDescent="0.25"/>
    <row r="47" ht="11.65" customHeight="1" x14ac:dyDescent="0.25"/>
    <row r="48" ht="11.65" customHeight="1" x14ac:dyDescent="0.25"/>
    <row r="49" ht="11.65" customHeight="1" x14ac:dyDescent="0.25"/>
    <row r="50" ht="11.65" customHeight="1" x14ac:dyDescent="0.25"/>
  </sheetData>
  <mergeCells count="2">
    <mergeCell ref="A1:M1"/>
    <mergeCell ref="C2:N2"/>
  </mergeCells>
  <phoneticPr fontId="2" type="noConversion"/>
  <printOptions horizontalCentered="1"/>
  <pageMargins left="0.35433070866141736" right="0.15748031496062992" top="0.78740157480314965" bottom="0.59055118110236227" header="0.51181102362204722" footer="0.39370078740157483"/>
  <pageSetup paperSize="8" scale="120" orientation="landscape" r:id="rId1"/>
  <headerFooter alignWithMargins="0">
    <oddFooter>&amp;L&amp;F&amp;C&amp;A&amp;R&amp;D</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N19"/>
  <sheetViews>
    <sheetView workbookViewId="0">
      <selection activeCell="D13" sqref="D13"/>
    </sheetView>
  </sheetViews>
  <sheetFormatPr defaultRowHeight="12.75" x14ac:dyDescent="0.2"/>
  <cols>
    <col min="1" max="1" width="56.5703125" bestFit="1" customWidth="1"/>
    <col min="2" max="2" width="5" bestFit="1" customWidth="1"/>
    <col min="3" max="3" width="5.85546875" bestFit="1" customWidth="1"/>
    <col min="4" max="4" width="12" bestFit="1" customWidth="1"/>
    <col min="5" max="5" width="12.140625" bestFit="1" customWidth="1"/>
    <col min="6" max="6" width="12" bestFit="1" customWidth="1"/>
    <col min="7" max="7" width="12.5703125" bestFit="1" customWidth="1"/>
    <col min="8" max="9" width="13.7109375" bestFit="1" customWidth="1"/>
    <col min="10" max="12" width="12" bestFit="1" customWidth="1"/>
    <col min="13" max="13" width="38.42578125" bestFit="1" customWidth="1"/>
    <col min="14" max="14" width="36.7109375" bestFit="1" customWidth="1"/>
  </cols>
  <sheetData>
    <row r="1" spans="1:14" x14ac:dyDescent="0.2">
      <c r="A1" s="630" t="s">
        <v>973</v>
      </c>
      <c r="B1" s="630" t="s">
        <v>1644</v>
      </c>
      <c r="C1" s="630" t="s">
        <v>818</v>
      </c>
      <c r="D1" s="630" t="s">
        <v>1638</v>
      </c>
      <c r="E1" s="630" t="s">
        <v>1645</v>
      </c>
      <c r="F1" s="630" t="s">
        <v>1639</v>
      </c>
      <c r="G1" s="630" t="s">
        <v>1640</v>
      </c>
      <c r="H1" s="630" t="s">
        <v>1641</v>
      </c>
      <c r="I1" s="630" t="s">
        <v>1642</v>
      </c>
      <c r="J1" s="630" t="s">
        <v>1643</v>
      </c>
      <c r="K1" s="630" t="s">
        <v>1646</v>
      </c>
      <c r="L1" s="630" t="s">
        <v>41</v>
      </c>
      <c r="M1" s="630" t="s">
        <v>1008</v>
      </c>
      <c r="N1" s="630" t="s">
        <v>995</v>
      </c>
    </row>
    <row r="2" spans="1:14" x14ac:dyDescent="0.2">
      <c r="A2" s="630" t="s">
        <v>1909</v>
      </c>
      <c r="B2" s="630" t="s">
        <v>973</v>
      </c>
      <c r="C2" s="630" t="s">
        <v>973</v>
      </c>
      <c r="D2" s="630" t="s">
        <v>1637</v>
      </c>
      <c r="E2" s="630" t="s">
        <v>1637</v>
      </c>
      <c r="F2" s="630" t="s">
        <v>1637</v>
      </c>
      <c r="G2" s="630" t="s">
        <v>1637</v>
      </c>
      <c r="H2" s="630" t="s">
        <v>1637</v>
      </c>
      <c r="I2" s="630" t="s">
        <v>1637</v>
      </c>
      <c r="J2" s="630" t="s">
        <v>1637</v>
      </c>
      <c r="K2" s="630" t="s">
        <v>1637</v>
      </c>
      <c r="L2" s="630" t="s">
        <v>1637</v>
      </c>
      <c r="M2" s="630" t="s">
        <v>973</v>
      </c>
      <c r="N2" s="630" t="s">
        <v>973</v>
      </c>
    </row>
    <row r="3" spans="1:14" x14ac:dyDescent="0.2">
      <c r="A3" s="630" t="s">
        <v>983</v>
      </c>
      <c r="B3">
        <v>2025</v>
      </c>
      <c r="C3">
        <v>10</v>
      </c>
      <c r="N3">
        <v>0</v>
      </c>
    </row>
    <row r="4" spans="1:14" x14ac:dyDescent="0.2">
      <c r="A4" s="630" t="s">
        <v>1910</v>
      </c>
      <c r="B4">
        <v>2025</v>
      </c>
      <c r="C4">
        <v>10</v>
      </c>
      <c r="D4">
        <v>108487882.62</v>
      </c>
      <c r="E4">
        <v>8204712.5800000001</v>
      </c>
      <c r="F4">
        <v>12116224.359999999</v>
      </c>
      <c r="G4">
        <v>6946969.6799999997</v>
      </c>
      <c r="H4">
        <v>3988797.92</v>
      </c>
      <c r="I4">
        <v>7071221.3300000001</v>
      </c>
      <c r="J4">
        <v>34409501.530000001</v>
      </c>
      <c r="K4">
        <v>157504963.66</v>
      </c>
      <c r="L4">
        <v>338730273.68000001</v>
      </c>
      <c r="N4">
        <v>0</v>
      </c>
    </row>
    <row r="5" spans="1:14" x14ac:dyDescent="0.2">
      <c r="A5" s="630" t="s">
        <v>1911</v>
      </c>
      <c r="B5">
        <v>2025</v>
      </c>
      <c r="C5">
        <v>10</v>
      </c>
      <c r="D5">
        <v>234277074.55000001</v>
      </c>
      <c r="E5">
        <v>5190941.9400000004</v>
      </c>
      <c r="F5">
        <v>3575890.71</v>
      </c>
      <c r="G5">
        <v>1840584.52</v>
      </c>
      <c r="H5">
        <v>1008989.95</v>
      </c>
      <c r="I5">
        <v>1706346.07</v>
      </c>
      <c r="J5">
        <v>7302063.8499999996</v>
      </c>
      <c r="K5">
        <v>5440520.3700000001</v>
      </c>
      <c r="L5">
        <v>260342411.96000001</v>
      </c>
      <c r="N5">
        <v>0</v>
      </c>
    </row>
    <row r="6" spans="1:14" x14ac:dyDescent="0.2">
      <c r="A6" s="630" t="s">
        <v>985</v>
      </c>
      <c r="B6">
        <v>2025</v>
      </c>
      <c r="C6">
        <v>10</v>
      </c>
      <c r="D6">
        <v>61642335.43</v>
      </c>
      <c r="E6">
        <v>6854850.5800000001</v>
      </c>
      <c r="F6">
        <v>5337854.29</v>
      </c>
      <c r="G6">
        <v>4210400.33</v>
      </c>
      <c r="H6">
        <v>2907713.86</v>
      </c>
      <c r="I6">
        <v>3716929.11</v>
      </c>
      <c r="J6">
        <v>40140834.950000003</v>
      </c>
      <c r="K6">
        <v>71959644.780000001</v>
      </c>
      <c r="L6">
        <v>196770563.33000001</v>
      </c>
      <c r="N6">
        <v>0</v>
      </c>
    </row>
    <row r="7" spans="1:14" x14ac:dyDescent="0.2">
      <c r="A7" s="630" t="s">
        <v>1912</v>
      </c>
      <c r="B7">
        <v>2025</v>
      </c>
      <c r="C7">
        <v>10</v>
      </c>
      <c r="D7">
        <v>13536936.470000001</v>
      </c>
      <c r="E7">
        <v>1469762.47</v>
      </c>
      <c r="F7">
        <v>1994633.86</v>
      </c>
      <c r="G7">
        <v>1201619.03</v>
      </c>
      <c r="H7">
        <v>836932.76</v>
      </c>
      <c r="I7">
        <v>1206452.3799999999</v>
      </c>
      <c r="J7">
        <v>4722879.28</v>
      </c>
      <c r="K7">
        <v>11963926.890000001</v>
      </c>
      <c r="L7">
        <v>36933143.140000001</v>
      </c>
      <c r="N7">
        <v>0</v>
      </c>
    </row>
    <row r="8" spans="1:14" x14ac:dyDescent="0.2">
      <c r="A8" s="630" t="s">
        <v>988</v>
      </c>
      <c r="B8">
        <v>2025</v>
      </c>
      <c r="C8">
        <v>10</v>
      </c>
      <c r="D8">
        <v>11814294.720000001</v>
      </c>
      <c r="E8">
        <v>845161</v>
      </c>
      <c r="F8">
        <v>2487126.11</v>
      </c>
      <c r="G8">
        <v>1422930.77</v>
      </c>
      <c r="H8">
        <v>451849.52</v>
      </c>
      <c r="I8">
        <v>1380314.46</v>
      </c>
      <c r="J8">
        <v>5177854.22</v>
      </c>
      <c r="K8">
        <v>7998614.7400000002</v>
      </c>
      <c r="L8">
        <v>31578145.539999999</v>
      </c>
      <c r="N8">
        <v>0</v>
      </c>
    </row>
    <row r="9" spans="1:14" x14ac:dyDescent="0.2">
      <c r="A9" s="630" t="s">
        <v>1913</v>
      </c>
      <c r="B9">
        <v>2025</v>
      </c>
      <c r="C9">
        <v>10</v>
      </c>
      <c r="D9">
        <v>3658271.41</v>
      </c>
      <c r="E9">
        <v>549534.31000000006</v>
      </c>
      <c r="F9">
        <v>1513293.9</v>
      </c>
      <c r="G9">
        <v>1298025.82</v>
      </c>
      <c r="H9">
        <v>665900.4</v>
      </c>
      <c r="I9">
        <v>2432246.08</v>
      </c>
      <c r="J9">
        <v>9489866.5800000001</v>
      </c>
      <c r="K9">
        <v>27685003.199999999</v>
      </c>
      <c r="L9">
        <v>47292141.700000003</v>
      </c>
      <c r="N9">
        <v>0</v>
      </c>
    </row>
    <row r="10" spans="1:14" x14ac:dyDescent="0.2">
      <c r="A10" s="630" t="s">
        <v>990</v>
      </c>
      <c r="B10">
        <v>2025</v>
      </c>
      <c r="C10">
        <v>10</v>
      </c>
      <c r="D10">
        <v>202473.61</v>
      </c>
      <c r="E10">
        <v>40876.620000000003</v>
      </c>
      <c r="F10">
        <v>22695.8</v>
      </c>
      <c r="G10">
        <v>28735.279999999999</v>
      </c>
      <c r="H10">
        <v>23474.47</v>
      </c>
      <c r="I10">
        <v>25959.17</v>
      </c>
      <c r="J10">
        <v>138633.41</v>
      </c>
      <c r="K10">
        <v>1851100.44</v>
      </c>
      <c r="L10">
        <v>2333948.7999999998</v>
      </c>
      <c r="N10">
        <v>0</v>
      </c>
    </row>
    <row r="11" spans="1:14" x14ac:dyDescent="0.2">
      <c r="A11" s="630" t="s">
        <v>1914</v>
      </c>
      <c r="B11">
        <v>2025</v>
      </c>
      <c r="C11">
        <v>10</v>
      </c>
      <c r="N11">
        <v>0</v>
      </c>
    </row>
    <row r="12" spans="1:14" x14ac:dyDescent="0.2">
      <c r="A12" s="630" t="s">
        <v>1915</v>
      </c>
      <c r="B12">
        <v>2025</v>
      </c>
      <c r="C12">
        <v>10</v>
      </c>
      <c r="D12">
        <v>5009925.91</v>
      </c>
      <c r="E12">
        <v>437166.64</v>
      </c>
      <c r="F12">
        <v>1115426.93</v>
      </c>
      <c r="G12">
        <v>536856.44999999995</v>
      </c>
      <c r="H12">
        <v>861601.83</v>
      </c>
      <c r="I12">
        <v>462182.34</v>
      </c>
      <c r="J12">
        <v>3715268.7</v>
      </c>
      <c r="K12">
        <v>27775343</v>
      </c>
      <c r="L12">
        <v>39913771.799999997</v>
      </c>
      <c r="N12">
        <v>0</v>
      </c>
    </row>
    <row r="13" spans="1:14" x14ac:dyDescent="0.2">
      <c r="A13" s="630" t="s">
        <v>992</v>
      </c>
      <c r="B13">
        <v>2025</v>
      </c>
      <c r="C13">
        <v>10</v>
      </c>
      <c r="D13">
        <v>438629194.72000003</v>
      </c>
      <c r="E13">
        <v>23593006.140000001</v>
      </c>
      <c r="F13">
        <v>28163145.960000001</v>
      </c>
      <c r="G13">
        <v>17486121.879999999</v>
      </c>
      <c r="H13">
        <v>10745260.710000001</v>
      </c>
      <c r="I13">
        <v>18001650.940000001</v>
      </c>
      <c r="J13">
        <v>105096902.52</v>
      </c>
      <c r="K13">
        <v>312179117.07999998</v>
      </c>
      <c r="L13">
        <v>953894399.95000005</v>
      </c>
      <c r="N13">
        <v>0</v>
      </c>
    </row>
    <row r="14" spans="1:14" x14ac:dyDescent="0.2">
      <c r="A14" s="630" t="s">
        <v>996</v>
      </c>
      <c r="B14">
        <v>2025</v>
      </c>
      <c r="C14">
        <v>10</v>
      </c>
      <c r="N14">
        <v>0</v>
      </c>
    </row>
    <row r="15" spans="1:14" x14ac:dyDescent="0.2">
      <c r="A15" s="630" t="s">
        <v>993</v>
      </c>
      <c r="B15">
        <v>2025</v>
      </c>
      <c r="C15">
        <v>10</v>
      </c>
      <c r="D15">
        <v>170177105.43000001</v>
      </c>
      <c r="E15">
        <v>5188173.82</v>
      </c>
      <c r="F15">
        <v>6360407.3899999997</v>
      </c>
      <c r="G15">
        <v>2990626.55</v>
      </c>
      <c r="H15">
        <v>873981.27</v>
      </c>
      <c r="I15">
        <v>3278267.2</v>
      </c>
      <c r="J15">
        <v>35834017.990000002</v>
      </c>
      <c r="K15">
        <v>61733358.619999997</v>
      </c>
      <c r="L15">
        <v>286435938.26999998</v>
      </c>
      <c r="N15">
        <v>0</v>
      </c>
    </row>
    <row r="16" spans="1:14" x14ac:dyDescent="0.2">
      <c r="A16" s="630" t="s">
        <v>994</v>
      </c>
      <c r="B16">
        <v>2025</v>
      </c>
      <c r="C16">
        <v>10</v>
      </c>
      <c r="D16">
        <v>197777027.81999999</v>
      </c>
      <c r="E16">
        <v>8760623.5999999996</v>
      </c>
      <c r="F16">
        <v>7095359.9000000004</v>
      </c>
      <c r="G16">
        <v>4822516.78</v>
      </c>
      <c r="H16">
        <v>3129216.1</v>
      </c>
      <c r="I16">
        <v>4880032.7300000004</v>
      </c>
      <c r="J16">
        <v>21009021.75</v>
      </c>
      <c r="K16">
        <v>93052143.469999999</v>
      </c>
      <c r="L16">
        <v>340525942.14999998</v>
      </c>
      <c r="N16">
        <v>0</v>
      </c>
    </row>
    <row r="17" spans="1:14" x14ac:dyDescent="0.2">
      <c r="A17" s="630" t="s">
        <v>633</v>
      </c>
      <c r="B17">
        <v>2025</v>
      </c>
      <c r="C17">
        <v>10</v>
      </c>
      <c r="D17">
        <v>69507396.569999993</v>
      </c>
      <c r="E17">
        <v>9320797.4900000002</v>
      </c>
      <c r="F17">
        <v>14234026.83</v>
      </c>
      <c r="G17">
        <v>9282505.1099999994</v>
      </c>
      <c r="H17">
        <v>6362016.7199999997</v>
      </c>
      <c r="I17">
        <v>9026176.4499999993</v>
      </c>
      <c r="J17">
        <v>45932231.030000001</v>
      </c>
      <c r="K17">
        <v>150172557.05000001</v>
      </c>
      <c r="L17">
        <v>313837707.25</v>
      </c>
      <c r="N17">
        <v>0</v>
      </c>
    </row>
    <row r="18" spans="1:14" x14ac:dyDescent="0.2">
      <c r="A18" s="630" t="s">
        <v>1915</v>
      </c>
      <c r="B18">
        <v>2025</v>
      </c>
      <c r="C18">
        <v>10</v>
      </c>
      <c r="D18">
        <v>1167664.8999999999</v>
      </c>
      <c r="E18">
        <v>323411.23</v>
      </c>
      <c r="F18">
        <v>473351.84</v>
      </c>
      <c r="G18">
        <v>390473.44</v>
      </c>
      <c r="H18">
        <v>380046.62</v>
      </c>
      <c r="I18">
        <v>817174.56</v>
      </c>
      <c r="J18">
        <v>2321631.75</v>
      </c>
      <c r="K18">
        <v>7221057.9400000004</v>
      </c>
      <c r="L18">
        <v>13094812.279999999</v>
      </c>
      <c r="N18">
        <v>0</v>
      </c>
    </row>
    <row r="19" spans="1:14" x14ac:dyDescent="0.2">
      <c r="A19" s="630" t="s">
        <v>997</v>
      </c>
      <c r="B19">
        <v>2025</v>
      </c>
      <c r="C19">
        <v>10</v>
      </c>
      <c r="D19">
        <v>438629194.72000003</v>
      </c>
      <c r="E19">
        <v>23593006.140000001</v>
      </c>
      <c r="F19">
        <v>28163145.960000001</v>
      </c>
      <c r="G19">
        <v>17486121.879999999</v>
      </c>
      <c r="H19">
        <v>10745260.710000001</v>
      </c>
      <c r="I19">
        <v>18001650.940000001</v>
      </c>
      <c r="J19">
        <v>105096902.52</v>
      </c>
      <c r="K19">
        <v>312179117.07999998</v>
      </c>
      <c r="L19">
        <v>953894399.95000005</v>
      </c>
      <c r="N19">
        <v>0</v>
      </c>
    </row>
  </sheetData>
  <pageMargins left="0.7" right="0.7" top="0.75" bottom="0.75" header="0.3" footer="0.3"/>
  <customProperties>
    <customPr name="_pios_id" r:id="rId1"/>
    <customPr name="CofWorksheetType"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A18" zoomScaleNormal="100" workbookViewId="0">
      <selection activeCell="W1" sqref="W1:X1048576"/>
    </sheetView>
  </sheetViews>
  <sheetFormatPr defaultRowHeight="12.75" x14ac:dyDescent="0.2"/>
  <cols>
    <col min="22" max="22" width="5.42578125" customWidth="1"/>
    <col min="23" max="23" width="9.42578125" style="224" hidden="1" customWidth="1"/>
    <col min="24" max="24" width="14.28515625" style="224" hidden="1" customWidth="1"/>
    <col min="25" max="25" width="9.28515625" style="224" customWidth="1"/>
  </cols>
  <sheetData>
    <row r="2" spans="4:25" x14ac:dyDescent="0.2">
      <c r="D2">
        <v>2020</v>
      </c>
    </row>
    <row r="4" spans="4:25" x14ac:dyDescent="0.2">
      <c r="X4" s="243" t="s">
        <v>523</v>
      </c>
    </row>
    <row r="5" spans="4:25" x14ac:dyDescent="0.2">
      <c r="X5" s="243" t="s">
        <v>60</v>
      </c>
    </row>
    <row r="6" spans="4:25" x14ac:dyDescent="0.2">
      <c r="X6" s="243"/>
    </row>
    <row r="7" spans="4:25" x14ac:dyDescent="0.2">
      <c r="W7" t="s">
        <v>128</v>
      </c>
      <c r="X7" s="243" t="s">
        <v>162</v>
      </c>
    </row>
    <row r="8" spans="4:25" x14ac:dyDescent="0.2">
      <c r="X8" s="243" t="s">
        <v>129</v>
      </c>
    </row>
    <row r="9" spans="4:25" x14ac:dyDescent="0.2">
      <c r="X9" s="243"/>
    </row>
    <row r="10" spans="4:25" x14ac:dyDescent="0.2">
      <c r="W10" t="s">
        <v>797</v>
      </c>
      <c r="X10" s="245">
        <v>10</v>
      </c>
    </row>
    <row r="11" spans="4:25" x14ac:dyDescent="0.2">
      <c r="W11" t="s">
        <v>798</v>
      </c>
      <c r="X11" s="243" t="str">
        <f>VLOOKUP(X10,W39:X55,2)</f>
        <v>M10 April</v>
      </c>
      <c r="Y11" s="284">
        <v>41487</v>
      </c>
    </row>
    <row r="12" spans="4:25" x14ac:dyDescent="0.2">
      <c r="X12" s="243"/>
    </row>
    <row r="13" spans="4:25" x14ac:dyDescent="0.2">
      <c r="X13" s="243"/>
    </row>
    <row r="14" spans="4:25" x14ac:dyDescent="0.2">
      <c r="X14" s="243"/>
    </row>
    <row r="15" spans="4:25" x14ac:dyDescent="0.2">
      <c r="X15" s="243"/>
    </row>
    <row r="16" spans="4:25" x14ac:dyDescent="0.2">
      <c r="X16" s="243"/>
    </row>
    <row r="17" spans="23:24" x14ac:dyDescent="0.2">
      <c r="X17" s="243"/>
    </row>
    <row r="18" spans="23:24" x14ac:dyDescent="0.2">
      <c r="X18" s="243"/>
    </row>
    <row r="19" spans="23:24" x14ac:dyDescent="0.2">
      <c r="W19" t="s">
        <v>130</v>
      </c>
      <c r="X19" s="243">
        <v>2014</v>
      </c>
    </row>
    <row r="20" spans="23:24" x14ac:dyDescent="0.2">
      <c r="X20" s="243">
        <v>2015</v>
      </c>
    </row>
    <row r="21" spans="23:24" x14ac:dyDescent="0.2">
      <c r="X21" s="243">
        <v>2016</v>
      </c>
    </row>
    <row r="22" spans="23:24" x14ac:dyDescent="0.2">
      <c r="X22" s="243">
        <v>2017</v>
      </c>
    </row>
    <row r="23" spans="23:24" x14ac:dyDescent="0.2">
      <c r="X23" s="243">
        <v>2018</v>
      </c>
    </row>
    <row r="24" spans="23:24" x14ac:dyDescent="0.2">
      <c r="X24" s="243">
        <v>2019</v>
      </c>
    </row>
    <row r="25" spans="23:24" x14ac:dyDescent="0.2">
      <c r="X25" s="243">
        <v>2020</v>
      </c>
    </row>
    <row r="26" spans="23:24" x14ac:dyDescent="0.2">
      <c r="X26" s="243">
        <v>2021</v>
      </c>
    </row>
    <row r="27" spans="23:24" x14ac:dyDescent="0.2">
      <c r="X27" s="243">
        <v>2022</v>
      </c>
    </row>
    <row r="28" spans="23:24" x14ac:dyDescent="0.2">
      <c r="X28" s="243">
        <v>2023</v>
      </c>
    </row>
    <row r="29" spans="23:24" x14ac:dyDescent="0.2">
      <c r="X29" s="243">
        <v>2024</v>
      </c>
    </row>
    <row r="30" spans="23:24" x14ac:dyDescent="0.2">
      <c r="X30" s="243">
        <v>2025</v>
      </c>
    </row>
    <row r="31" spans="23:24" x14ac:dyDescent="0.2">
      <c r="X31" s="243">
        <v>2026</v>
      </c>
    </row>
    <row r="32" spans="23:24" x14ac:dyDescent="0.2">
      <c r="X32" s="243">
        <v>2027</v>
      </c>
    </row>
    <row r="33" spans="22:25" x14ac:dyDescent="0.2">
      <c r="X33" s="243">
        <v>2028</v>
      </c>
    </row>
    <row r="34" spans="22:25" x14ac:dyDescent="0.2">
      <c r="W34" t="s">
        <v>131</v>
      </c>
      <c r="X34" s="243"/>
    </row>
    <row r="35" spans="22:25" x14ac:dyDescent="0.2">
      <c r="W35" t="s">
        <v>132</v>
      </c>
      <c r="X35" s="243">
        <v>12</v>
      </c>
    </row>
    <row r="36" spans="22:25" x14ac:dyDescent="0.2">
      <c r="X36" s="246">
        <f>INDEX(X19:X32,X35,1)</f>
        <v>2025</v>
      </c>
    </row>
    <row r="37" spans="22:25" x14ac:dyDescent="0.2">
      <c r="W37" t="s">
        <v>133</v>
      </c>
    </row>
    <row r="38" spans="22:25" x14ac:dyDescent="0.2">
      <c r="X38" s="244" t="str">
        <f>MTREF&amp;"/"&amp;RIGHT(MTREF,2)+1</f>
        <v>2025/26</v>
      </c>
    </row>
    <row r="39" spans="22:25" x14ac:dyDescent="0.2">
      <c r="V39" t="s">
        <v>791</v>
      </c>
      <c r="W39">
        <v>1</v>
      </c>
      <c r="X39" t="s">
        <v>793</v>
      </c>
      <c r="Y39" s="283"/>
    </row>
    <row r="40" spans="22:25" x14ac:dyDescent="0.2">
      <c r="W40">
        <v>2</v>
      </c>
      <c r="X40" t="s">
        <v>794</v>
      </c>
      <c r="Y40" s="283"/>
    </row>
    <row r="41" spans="22:25" x14ac:dyDescent="0.2">
      <c r="W41">
        <v>3</v>
      </c>
      <c r="X41" t="s">
        <v>799</v>
      </c>
    </row>
    <row r="42" spans="22:25" x14ac:dyDescent="0.2">
      <c r="W42">
        <v>4</v>
      </c>
      <c r="X42" t="s">
        <v>800</v>
      </c>
    </row>
    <row r="43" spans="22:25" x14ac:dyDescent="0.2">
      <c r="W43">
        <v>5</v>
      </c>
      <c r="X43" t="s">
        <v>801</v>
      </c>
    </row>
    <row r="44" spans="22:25" x14ac:dyDescent="0.2">
      <c r="W44">
        <v>6</v>
      </c>
      <c r="X44" t="s">
        <v>802</v>
      </c>
    </row>
    <row r="45" spans="22:25" x14ac:dyDescent="0.2">
      <c r="W45">
        <v>7</v>
      </c>
      <c r="X45" t="s">
        <v>803</v>
      </c>
    </row>
    <row r="46" spans="22:25" x14ac:dyDescent="0.2">
      <c r="W46">
        <v>8</v>
      </c>
      <c r="X46" t="s">
        <v>804</v>
      </c>
    </row>
    <row r="47" spans="22:25" x14ac:dyDescent="0.2">
      <c r="W47">
        <v>9</v>
      </c>
      <c r="X47" t="s">
        <v>805</v>
      </c>
    </row>
    <row r="48" spans="22:25" x14ac:dyDescent="0.2">
      <c r="W48">
        <v>10</v>
      </c>
      <c r="X48" t="s">
        <v>806</v>
      </c>
    </row>
    <row r="49" spans="23:24" x14ac:dyDescent="0.2">
      <c r="W49">
        <v>11</v>
      </c>
      <c r="X49" t="s">
        <v>807</v>
      </c>
    </row>
    <row r="50" spans="23:24" x14ac:dyDescent="0.2">
      <c r="W50">
        <v>12</v>
      </c>
      <c r="X50" t="s">
        <v>808</v>
      </c>
    </row>
    <row r="51" spans="23:24" x14ac:dyDescent="0.2">
      <c r="W51">
        <v>13</v>
      </c>
      <c r="X51" t="s">
        <v>795</v>
      </c>
    </row>
    <row r="52" spans="23:24" x14ac:dyDescent="0.2">
      <c r="W52">
        <v>14</v>
      </c>
      <c r="X52" t="s">
        <v>796</v>
      </c>
    </row>
    <row r="53" spans="23:24" x14ac:dyDescent="0.2">
      <c r="W53">
        <v>15</v>
      </c>
      <c r="X53" t="s">
        <v>809</v>
      </c>
    </row>
    <row r="54" spans="23:24" x14ac:dyDescent="0.2">
      <c r="W54">
        <v>16</v>
      </c>
      <c r="X54" t="s">
        <v>810</v>
      </c>
    </row>
    <row r="55" spans="23:24" x14ac:dyDescent="0.2">
      <c r="W55">
        <v>17</v>
      </c>
      <c r="X55" t="s">
        <v>792</v>
      </c>
    </row>
  </sheetData>
  <phoneticPr fontId="2" type="noConversion"/>
  <pageMargins left="0.75" right="0.75" top="1" bottom="1" header="0.5" footer="0.5"/>
  <pageSetup orientation="portrait" horizontalDpi="200" verticalDpi="200" r:id="rId1"/>
  <headerFooter alignWithMargins="0"/>
  <customProperties>
    <customPr name="_pios_id" r:id="rId2"/>
  </customProperties>
  <drawing r:id="rId3"/>
  <legacyDrawing r:id="rId4"/>
  <controls>
    <mc:AlternateContent xmlns:mc="http://schemas.openxmlformats.org/markup-compatibility/2006">
      <mc:Choice Requires="x14">
        <control shapeId="142358" r:id="rId5" name="TextBox3">
          <controlPr defaultSize="0" autoLine="0" linkedCell="#REF!" r:id="rId6">
            <anchor moveWithCells="1">
              <from>
                <xdr:col>5</xdr:col>
                <xdr:colOff>219075</xdr:colOff>
                <xdr:row>7</xdr:row>
                <xdr:rowOff>57150</xdr:rowOff>
              </from>
              <to>
                <xdr:col>11</xdr:col>
                <xdr:colOff>247650</xdr:colOff>
                <xdr:row>8</xdr:row>
                <xdr:rowOff>152400</xdr:rowOff>
              </to>
            </anchor>
          </controlPr>
        </control>
      </mc:Choice>
      <mc:Fallback>
        <control shapeId="142358" r:id="rId5" name="TextBox3"/>
      </mc:Fallback>
    </mc:AlternateContent>
    <mc:AlternateContent xmlns:mc="http://schemas.openxmlformats.org/markup-compatibility/2006">
      <mc:Choice Requires="x14">
        <control shapeId="142359" r:id="rId7" name="TextBox4">
          <controlPr defaultSize="0" autoLine="0" linkedCell="#REF!" r:id="rId8">
            <anchor moveWithCells="1">
              <from>
                <xdr:col>5</xdr:col>
                <xdr:colOff>219075</xdr:colOff>
                <xdr:row>9</xdr:row>
                <xdr:rowOff>133350</xdr:rowOff>
              </from>
              <to>
                <xdr:col>7</xdr:col>
                <xdr:colOff>552450</xdr:colOff>
                <xdr:row>11</xdr:row>
                <xdr:rowOff>66675</xdr:rowOff>
              </to>
            </anchor>
          </controlPr>
        </control>
      </mc:Choice>
      <mc:Fallback>
        <control shapeId="142359" r:id="rId7" name="TextBox4"/>
      </mc:Fallback>
    </mc:AlternateContent>
    <mc:AlternateContent xmlns:mc="http://schemas.openxmlformats.org/markup-compatibility/2006">
      <mc:Choice Requires="x14">
        <control shapeId="142360" r:id="rId9" name="TextBox5">
          <controlPr defaultSize="0" autoLine="0" linkedCell="#REF!" r:id="rId10">
            <anchor moveWithCells="1">
              <from>
                <xdr:col>5</xdr:col>
                <xdr:colOff>219075</xdr:colOff>
                <xdr:row>12</xdr:row>
                <xdr:rowOff>28575</xdr:rowOff>
              </from>
              <to>
                <xdr:col>11</xdr:col>
                <xdr:colOff>247650</xdr:colOff>
                <xdr:row>13</xdr:row>
                <xdr:rowOff>123825</xdr:rowOff>
              </to>
            </anchor>
          </controlPr>
        </control>
      </mc:Choice>
      <mc:Fallback>
        <control shapeId="142360" r:id="rId9" name="TextBox5"/>
      </mc:Fallback>
    </mc:AlternateContent>
    <mc:AlternateContent xmlns:mc="http://schemas.openxmlformats.org/markup-compatibility/2006">
      <mc:Choice Requires="x14">
        <control shapeId="142361" r:id="rId11" name="TextBox6">
          <controlPr defaultSize="0" autoLine="0" linkedCell="#REF!" r:id="rId12">
            <anchor moveWithCells="1">
              <from>
                <xdr:col>9</xdr:col>
                <xdr:colOff>66675</xdr:colOff>
                <xdr:row>9</xdr:row>
                <xdr:rowOff>152400</xdr:rowOff>
              </from>
              <to>
                <xdr:col>11</xdr:col>
                <xdr:colOff>257175</xdr:colOff>
                <xdr:row>11</xdr:row>
                <xdr:rowOff>85725</xdr:rowOff>
              </to>
            </anchor>
          </controlPr>
        </control>
      </mc:Choice>
      <mc:Fallback>
        <control shapeId="142361" r:id="rId11" name="TextBox6"/>
      </mc:Fallback>
    </mc:AlternateContent>
    <mc:AlternateContent xmlns:mc="http://schemas.openxmlformats.org/markup-compatibility/2006">
      <mc:Choice Requires="x14">
        <control shapeId="142362" r:id="rId13" name="ToggleReferenceColumns">
          <controlPr defaultSize="0" autoLine="0" r:id="rId14">
            <anchor moveWithCells="1">
              <from>
                <xdr:col>1</xdr:col>
                <xdr:colOff>152400</xdr:colOff>
                <xdr:row>35</xdr:row>
                <xdr:rowOff>133350</xdr:rowOff>
              </from>
              <to>
                <xdr:col>5</xdr:col>
                <xdr:colOff>133350</xdr:colOff>
                <xdr:row>37</xdr:row>
                <xdr:rowOff>133350</xdr:rowOff>
              </to>
            </anchor>
          </controlPr>
        </control>
      </mc:Choice>
      <mc:Fallback>
        <control shapeId="142362" r:id="rId13" name="ToggleReferenceColumns"/>
      </mc:Fallback>
    </mc:AlternateContent>
    <mc:AlternateContent xmlns:mc="http://schemas.openxmlformats.org/markup-compatibility/2006">
      <mc:Choice Requires="x14">
        <control shapeId="142363" r:id="rId15" name="TogglePreAuditColums">
          <controlPr defaultSize="0" autoLine="0" r:id="rId16">
            <anchor moveWithCells="1">
              <from>
                <xdr:col>1</xdr:col>
                <xdr:colOff>152400</xdr:colOff>
                <xdr:row>38</xdr:row>
                <xdr:rowOff>57150</xdr:rowOff>
              </from>
              <to>
                <xdr:col>5</xdr:col>
                <xdr:colOff>133350</xdr:colOff>
                <xdr:row>40</xdr:row>
                <xdr:rowOff>47625</xdr:rowOff>
              </to>
            </anchor>
          </controlPr>
        </control>
      </mc:Choice>
      <mc:Fallback>
        <control shapeId="142363" r:id="rId15" name="TogglePreAuditColums"/>
      </mc:Fallback>
    </mc:AlternateContent>
    <mc:AlternateContent xmlns:mc="http://schemas.openxmlformats.org/markup-compatibility/2006">
      <mc:Choice Requires="x14">
        <control shapeId="142364" r:id="rId17" name="ToggleHiddenColumns">
          <controlPr defaultSize="0" autoLine="0" r:id="rId18">
            <anchor moveWithCells="1">
              <from>
                <xdr:col>1</xdr:col>
                <xdr:colOff>152400</xdr:colOff>
                <xdr:row>43</xdr:row>
                <xdr:rowOff>19050</xdr:rowOff>
              </from>
              <to>
                <xdr:col>5</xdr:col>
                <xdr:colOff>133350</xdr:colOff>
                <xdr:row>45</xdr:row>
                <xdr:rowOff>19050</xdr:rowOff>
              </to>
            </anchor>
          </controlPr>
        </control>
      </mc:Choice>
      <mc:Fallback>
        <control shapeId="142364" r:id="rId17" name="ToggleHiddenColumns"/>
      </mc:Fallback>
    </mc:AlternateContent>
    <mc:AlternateContent xmlns:mc="http://schemas.openxmlformats.org/markup-compatibility/2006">
      <mc:Choice Requires="x14">
        <control shapeId="142354" r:id="rId19" name="Drop Down 18">
          <controlPr defaultSize="0" autoLine="0" autoPict="0">
            <anchor moveWithCells="1">
              <from>
                <xdr:col>5</xdr:col>
                <xdr:colOff>219075</xdr:colOff>
                <xdr:row>20</xdr:row>
                <xdr:rowOff>28575</xdr:rowOff>
              </from>
              <to>
                <xdr:col>6</xdr:col>
                <xdr:colOff>495300</xdr:colOff>
                <xdr:row>21</xdr:row>
                <xdr:rowOff>133350</xdr:rowOff>
              </to>
            </anchor>
          </controlPr>
        </control>
      </mc:Choice>
    </mc:AlternateContent>
    <mc:AlternateContent xmlns:mc="http://schemas.openxmlformats.org/markup-compatibility/2006">
      <mc:Choice Requires="x14">
        <control shapeId="142355" r:id="rId20" name="Drop Down 19">
          <controlPr defaultSize="0" autoLine="0" autoPict="0">
            <anchor moveWithCells="1">
              <from>
                <xdr:col>5</xdr:col>
                <xdr:colOff>219075</xdr:colOff>
                <xdr:row>22</xdr:row>
                <xdr:rowOff>114300</xdr:rowOff>
              </from>
              <to>
                <xdr:col>7</xdr:col>
                <xdr:colOff>600075</xdr:colOff>
                <xdr:row>24</xdr:row>
                <xdr:rowOff>57150</xdr:rowOff>
              </to>
            </anchor>
          </controlPr>
        </control>
      </mc:Choice>
    </mc:AlternateContent>
    <mc:AlternateContent xmlns:mc="http://schemas.openxmlformats.org/markup-compatibility/2006">
      <mc:Choice Requires="x14">
        <control shapeId="142356" r:id="rId21" name="Drop Down 20">
          <controlPr defaultSize="0" autoLine="0" autoPict="0">
            <anchor moveWithCells="1">
              <from>
                <xdr:col>5</xdr:col>
                <xdr:colOff>219075</xdr:colOff>
                <xdr:row>17</xdr:row>
                <xdr:rowOff>66675</xdr:rowOff>
              </from>
              <to>
                <xdr:col>7</xdr:col>
                <xdr:colOff>247650</xdr:colOff>
                <xdr:row>18</xdr:row>
                <xdr:rowOff>152400</xdr:rowOff>
              </to>
            </anchor>
          </controlPr>
        </control>
      </mc:Choice>
    </mc:AlternateContent>
    <mc:AlternateContent xmlns:mc="http://schemas.openxmlformats.org/markup-compatibility/2006">
      <mc:Choice Requires="x14">
        <control shapeId="142373" r:id="rId22" name="Drop Down 37">
          <controlPr defaultSize="0" autoLine="0" autoPict="0">
            <anchor moveWithCells="1">
              <from>
                <xdr:col>5</xdr:col>
                <xdr:colOff>228600</xdr:colOff>
                <xdr:row>4</xdr:row>
                <xdr:rowOff>104775</xdr:rowOff>
              </from>
              <to>
                <xdr:col>11</xdr:col>
                <xdr:colOff>247650</xdr:colOff>
                <xdr:row>6</xdr:row>
                <xdr:rowOff>28575</xdr:rowOff>
              </to>
            </anchor>
          </controlPr>
        </control>
      </mc:Choice>
    </mc:AlternateContent>
    <mc:AlternateContent xmlns:mc="http://schemas.openxmlformats.org/markup-compatibility/2006">
      <mc:Choice Requires="x14">
        <control shapeId="142375" r:id="rId23" name="Drop Down 39">
          <controlPr defaultSize="0" autoLine="0" autoPict="0">
            <anchor moveWithCells="1">
              <from>
                <xdr:col>5</xdr:col>
                <xdr:colOff>219075</xdr:colOff>
                <xdr:row>14</xdr:row>
                <xdr:rowOff>142875</xdr:rowOff>
              </from>
              <to>
                <xdr:col>7</xdr:col>
                <xdr:colOff>247650</xdr:colOff>
                <xdr:row>16</xdr:row>
                <xdr:rowOff>76200</xdr:rowOff>
              </to>
            </anchor>
          </controlPr>
        </control>
      </mc:Choice>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sheetPr>
  <dimension ref="A1:L44"/>
  <sheetViews>
    <sheetView showGridLines="0" zoomScaleNormal="100" workbookViewId="0">
      <pane xSplit="2" ySplit="4" topLeftCell="C5" activePane="bottomRight" state="frozen"/>
      <selection pane="topRight"/>
      <selection pane="bottomLeft"/>
      <selection pane="bottomRight" sqref="A1:K1"/>
    </sheetView>
  </sheetViews>
  <sheetFormatPr defaultColWidth="9.28515625" defaultRowHeight="21.75" customHeight="1" x14ac:dyDescent="0.25"/>
  <cols>
    <col min="1" max="1" width="25.7109375" style="21" customWidth="1"/>
    <col min="2" max="2" width="5.28515625" style="21" bestFit="1" customWidth="1"/>
    <col min="3" max="11" width="8.7109375" style="21" customWidth="1"/>
    <col min="12" max="16384" width="9.28515625" style="21"/>
  </cols>
  <sheetData>
    <row r="1" spans="1:12" ht="12.75" customHeight="1" x14ac:dyDescent="0.25">
      <c r="A1" s="848" t="str">
        <f>muni&amp; " - "&amp;S71J&amp; " - "&amp;Head57</f>
        <v>KZN282 uMhlathuze - Supporting Table SC4 Monthly Budget Statement - aged creditors  - M10 April</v>
      </c>
      <c r="B1" s="848"/>
      <c r="C1" s="848"/>
      <c r="D1" s="848"/>
      <c r="E1" s="848"/>
      <c r="F1" s="848"/>
      <c r="G1" s="848"/>
      <c r="H1" s="848"/>
      <c r="I1" s="848"/>
      <c r="J1" s="848"/>
      <c r="K1" s="848"/>
    </row>
    <row r="2" spans="1:12" ht="12.75" customHeight="1" x14ac:dyDescent="0.25">
      <c r="A2" s="837" t="str">
        <f>desc</f>
        <v>Description</v>
      </c>
      <c r="B2" s="858" t="s">
        <v>682</v>
      </c>
      <c r="C2" s="502" t="str">
        <f>Head2</f>
        <v>Budget Year 2024/25</v>
      </c>
      <c r="D2" s="502"/>
      <c r="E2" s="502"/>
      <c r="F2" s="502"/>
      <c r="G2" s="502"/>
      <c r="H2" s="502"/>
      <c r="I2" s="502"/>
      <c r="J2" s="502"/>
      <c r="K2" s="433"/>
      <c r="L2" s="865" t="s">
        <v>57</v>
      </c>
    </row>
    <row r="3" spans="1:12" ht="12.75" customHeight="1" x14ac:dyDescent="0.25">
      <c r="A3" s="871"/>
      <c r="B3" s="859"/>
      <c r="C3" s="861" t="s">
        <v>674</v>
      </c>
      <c r="D3" s="863" t="s">
        <v>675</v>
      </c>
      <c r="E3" s="863" t="s">
        <v>676</v>
      </c>
      <c r="F3" s="863" t="s">
        <v>677</v>
      </c>
      <c r="G3" s="863" t="s">
        <v>678</v>
      </c>
      <c r="H3" s="863" t="s">
        <v>679</v>
      </c>
      <c r="I3" s="863" t="s">
        <v>680</v>
      </c>
      <c r="J3" s="868" t="s">
        <v>681</v>
      </c>
      <c r="K3" s="870" t="s">
        <v>460</v>
      </c>
      <c r="L3" s="866"/>
    </row>
    <row r="4" spans="1:12" ht="12.75" customHeight="1" x14ac:dyDescent="0.25">
      <c r="A4" s="28" t="s">
        <v>615</v>
      </c>
      <c r="B4" s="860"/>
      <c r="C4" s="862"/>
      <c r="D4" s="864"/>
      <c r="E4" s="864"/>
      <c r="F4" s="864"/>
      <c r="G4" s="864"/>
      <c r="H4" s="864"/>
      <c r="I4" s="864"/>
      <c r="J4" s="869"/>
      <c r="K4" s="860"/>
      <c r="L4" s="867"/>
    </row>
    <row r="5" spans="1:12" ht="12.75" customHeight="1" x14ac:dyDescent="0.25">
      <c r="A5" s="59" t="s">
        <v>612</v>
      </c>
      <c r="B5" s="90"/>
      <c r="C5" s="503"/>
      <c r="D5" s="87"/>
      <c r="E5" s="87"/>
      <c r="F5" s="87"/>
      <c r="G5" s="87"/>
      <c r="H5" s="87"/>
      <c r="I5" s="87"/>
      <c r="J5" s="157"/>
      <c r="K5" s="88"/>
      <c r="L5" s="88"/>
    </row>
    <row r="6" spans="1:12" ht="12.75" customHeight="1" x14ac:dyDescent="0.25">
      <c r="A6" s="30" t="s">
        <v>634</v>
      </c>
      <c r="B6" s="90" t="s">
        <v>635</v>
      </c>
      <c r="C6" s="415">
        <f>SC4Q!B3</f>
        <v>146069507.13</v>
      </c>
      <c r="D6" s="415">
        <f>SC4Q!C3</f>
        <v>0</v>
      </c>
      <c r="E6" s="415">
        <f>SC4Q!D3</f>
        <v>0</v>
      </c>
      <c r="F6" s="415">
        <f>SC4Q!E3</f>
        <v>0</v>
      </c>
      <c r="G6" s="415">
        <f>SC4Q!F3</f>
        <v>0</v>
      </c>
      <c r="H6" s="415">
        <f>SC4Q!G3</f>
        <v>0</v>
      </c>
      <c r="I6" s="415">
        <f>SC4Q!H3</f>
        <v>0</v>
      </c>
      <c r="J6" s="415">
        <f>SC4Q!I3</f>
        <v>0</v>
      </c>
      <c r="K6" s="69">
        <f>SUM(C6:J6)</f>
        <v>146069507.13</v>
      </c>
      <c r="L6" s="379"/>
    </row>
    <row r="7" spans="1:12" ht="12.75" customHeight="1" x14ac:dyDescent="0.25">
      <c r="A7" s="30" t="s">
        <v>636</v>
      </c>
      <c r="B7" s="90" t="s">
        <v>637</v>
      </c>
      <c r="C7" s="415">
        <f>SC4Q!B4</f>
        <v>0</v>
      </c>
      <c r="D7" s="415">
        <f>SC4Q!C4</f>
        <v>0</v>
      </c>
      <c r="E7" s="415">
        <f>SC4Q!D4</f>
        <v>0</v>
      </c>
      <c r="F7" s="415">
        <f>SC4Q!E4</f>
        <v>0</v>
      </c>
      <c r="G7" s="415">
        <f>SC4Q!F4</f>
        <v>0</v>
      </c>
      <c r="H7" s="415">
        <f>SC4Q!G4</f>
        <v>0</v>
      </c>
      <c r="I7" s="415">
        <f>SC4Q!H4</f>
        <v>0</v>
      </c>
      <c r="J7" s="415">
        <f>SC4Q!I4</f>
        <v>0</v>
      </c>
      <c r="K7" s="69">
        <f t="shared" ref="K7:K13" si="0">SUM(C7:J7)</f>
        <v>0</v>
      </c>
      <c r="L7" s="379"/>
    </row>
    <row r="8" spans="1:12" ht="12.75" customHeight="1" x14ac:dyDescent="0.25">
      <c r="A8" s="30" t="s">
        <v>638</v>
      </c>
      <c r="B8" s="90" t="s">
        <v>639</v>
      </c>
      <c r="C8" s="415">
        <f>SC4Q!B5</f>
        <v>15630309.23</v>
      </c>
      <c r="D8" s="415">
        <f>SC4Q!C5</f>
        <v>0</v>
      </c>
      <c r="E8" s="415">
        <f>SC4Q!D5</f>
        <v>0</v>
      </c>
      <c r="F8" s="415">
        <f>SC4Q!E5</f>
        <v>0</v>
      </c>
      <c r="G8" s="415">
        <f>SC4Q!F5</f>
        <v>0</v>
      </c>
      <c r="H8" s="415">
        <f>SC4Q!G5</f>
        <v>0</v>
      </c>
      <c r="I8" s="415">
        <f>SC4Q!H5</f>
        <v>0</v>
      </c>
      <c r="J8" s="415">
        <f>SC4Q!I5</f>
        <v>0</v>
      </c>
      <c r="K8" s="69">
        <f t="shared" si="0"/>
        <v>15630309.23</v>
      </c>
      <c r="L8" s="379"/>
    </row>
    <row r="9" spans="1:12" ht="12.75" customHeight="1" x14ac:dyDescent="0.25">
      <c r="A9" s="30" t="s">
        <v>540</v>
      </c>
      <c r="B9" s="90" t="s">
        <v>541</v>
      </c>
      <c r="C9" s="415">
        <f>SC4Q!B6</f>
        <v>0</v>
      </c>
      <c r="D9" s="415">
        <f>SC4Q!C6</f>
        <v>0</v>
      </c>
      <c r="E9" s="415">
        <f>SC4Q!D6</f>
        <v>0</v>
      </c>
      <c r="F9" s="415">
        <f>SC4Q!E6</f>
        <v>0</v>
      </c>
      <c r="G9" s="415">
        <f>SC4Q!F6</f>
        <v>0</v>
      </c>
      <c r="H9" s="415">
        <f>SC4Q!G6</f>
        <v>0</v>
      </c>
      <c r="I9" s="415">
        <f>SC4Q!H6</f>
        <v>0</v>
      </c>
      <c r="J9" s="415">
        <f>SC4Q!I6</f>
        <v>0</v>
      </c>
      <c r="K9" s="69">
        <f t="shared" si="0"/>
        <v>0</v>
      </c>
      <c r="L9" s="379"/>
    </row>
    <row r="10" spans="1:12" ht="12.75" customHeight="1" x14ac:dyDescent="0.25">
      <c r="A10" s="30" t="s">
        <v>542</v>
      </c>
      <c r="B10" s="90" t="s">
        <v>543</v>
      </c>
      <c r="C10" s="415">
        <f>SC4Q!B7</f>
        <v>14486482.119999999</v>
      </c>
      <c r="D10" s="415">
        <f>SC4Q!C7</f>
        <v>0</v>
      </c>
      <c r="E10" s="415">
        <f>SC4Q!D7</f>
        <v>0</v>
      </c>
      <c r="F10" s="415">
        <f>SC4Q!E7</f>
        <v>0</v>
      </c>
      <c r="G10" s="415">
        <f>SC4Q!F7</f>
        <v>0</v>
      </c>
      <c r="H10" s="415">
        <f>SC4Q!G7</f>
        <v>0</v>
      </c>
      <c r="I10" s="415">
        <f>SC4Q!H7</f>
        <v>0</v>
      </c>
      <c r="J10" s="415">
        <f>SC4Q!I7</f>
        <v>0</v>
      </c>
      <c r="K10" s="69">
        <f t="shared" si="0"/>
        <v>14486482.119999999</v>
      </c>
      <c r="L10" s="379"/>
    </row>
    <row r="11" spans="1:12" ht="12.75" customHeight="1" x14ac:dyDescent="0.25">
      <c r="A11" s="30" t="s">
        <v>544</v>
      </c>
      <c r="B11" s="90" t="s">
        <v>545</v>
      </c>
      <c r="C11" s="415">
        <f>SC4Q!B8</f>
        <v>0</v>
      </c>
      <c r="D11" s="415">
        <f>SC4Q!C8</f>
        <v>0</v>
      </c>
      <c r="E11" s="415">
        <f>SC4Q!D8</f>
        <v>0</v>
      </c>
      <c r="F11" s="415">
        <f>SC4Q!E8</f>
        <v>0</v>
      </c>
      <c r="G11" s="415">
        <f>SC4Q!F8</f>
        <v>0</v>
      </c>
      <c r="H11" s="415">
        <f>SC4Q!G8</f>
        <v>0</v>
      </c>
      <c r="I11" s="415">
        <f>SC4Q!H8</f>
        <v>0</v>
      </c>
      <c r="J11" s="415">
        <f>SC4Q!I8</f>
        <v>0</v>
      </c>
      <c r="K11" s="69">
        <f t="shared" si="0"/>
        <v>0</v>
      </c>
      <c r="L11" s="379"/>
    </row>
    <row r="12" spans="1:12" ht="12.75" customHeight="1" x14ac:dyDescent="0.25">
      <c r="A12" s="30" t="s">
        <v>546</v>
      </c>
      <c r="B12" s="90" t="s">
        <v>547</v>
      </c>
      <c r="C12" s="415">
        <f>SC4Q!B9</f>
        <v>22393878.699999999</v>
      </c>
      <c r="D12" s="415">
        <f>SC4Q!C9</f>
        <v>0</v>
      </c>
      <c r="E12" s="415">
        <f>SC4Q!D9</f>
        <v>0</v>
      </c>
      <c r="F12" s="415">
        <f>SC4Q!E9</f>
        <v>0</v>
      </c>
      <c r="G12" s="415">
        <f>SC4Q!F9</f>
        <v>0</v>
      </c>
      <c r="H12" s="415">
        <f>SC4Q!G9</f>
        <v>0</v>
      </c>
      <c r="I12" s="415">
        <f>SC4Q!H9</f>
        <v>0</v>
      </c>
      <c r="J12" s="415">
        <f>SC4Q!I9</f>
        <v>0</v>
      </c>
      <c r="K12" s="69">
        <f t="shared" si="0"/>
        <v>22393878.699999999</v>
      </c>
      <c r="L12" s="379"/>
    </row>
    <row r="13" spans="1:12" ht="12.75" customHeight="1" x14ac:dyDescent="0.25">
      <c r="A13" s="30" t="s">
        <v>548</v>
      </c>
      <c r="B13" s="90" t="s">
        <v>549</v>
      </c>
      <c r="C13" s="415">
        <f>SC4Q!B10</f>
        <v>0</v>
      </c>
      <c r="D13" s="415">
        <f>SC4Q!C10</f>
        <v>0</v>
      </c>
      <c r="E13" s="415">
        <f>SC4Q!D10</f>
        <v>0</v>
      </c>
      <c r="F13" s="415">
        <f>SC4Q!E10</f>
        <v>0</v>
      </c>
      <c r="G13" s="415">
        <f>SC4Q!F10</f>
        <v>0</v>
      </c>
      <c r="H13" s="415">
        <f>SC4Q!G10</f>
        <v>0</v>
      </c>
      <c r="I13" s="415">
        <f>SC4Q!H10</f>
        <v>0</v>
      </c>
      <c r="J13" s="415">
        <f>SC4Q!I10</f>
        <v>0</v>
      </c>
      <c r="K13" s="69">
        <f t="shared" si="0"/>
        <v>0</v>
      </c>
      <c r="L13" s="379"/>
    </row>
    <row r="14" spans="1:12" ht="12.75" customHeight="1" x14ac:dyDescent="0.25">
      <c r="A14" s="30" t="s">
        <v>666</v>
      </c>
      <c r="B14" s="90" t="s">
        <v>550</v>
      </c>
      <c r="C14" s="415">
        <f>SC4Q!B11</f>
        <v>0</v>
      </c>
      <c r="D14" s="415">
        <f>SC4Q!C11</f>
        <v>0</v>
      </c>
      <c r="E14" s="415">
        <f>SC4Q!D11</f>
        <v>0</v>
      </c>
      <c r="F14" s="415">
        <f>SC4Q!E11</f>
        <v>0</v>
      </c>
      <c r="G14" s="415">
        <f>SC4Q!F11</f>
        <v>0</v>
      </c>
      <c r="H14" s="415">
        <f>SC4Q!G11</f>
        <v>0</v>
      </c>
      <c r="I14" s="415">
        <f>SC4Q!H11</f>
        <v>0</v>
      </c>
      <c r="J14" s="415">
        <f>SC4Q!I11</f>
        <v>0</v>
      </c>
      <c r="K14" s="69">
        <f>SUM(C14:J14)</f>
        <v>0</v>
      </c>
      <c r="L14" s="379"/>
    </row>
    <row r="15" spans="1:12" ht="12.75" customHeight="1" x14ac:dyDescent="0.25">
      <c r="A15" s="797" t="s">
        <v>2047</v>
      </c>
      <c r="B15" s="90"/>
      <c r="C15" s="415"/>
      <c r="D15" s="415"/>
      <c r="E15" s="415"/>
      <c r="F15" s="415"/>
      <c r="G15" s="415"/>
      <c r="H15" s="415"/>
      <c r="I15" s="415"/>
      <c r="J15" s="704"/>
      <c r="K15" s="69"/>
      <c r="L15" s="379"/>
    </row>
    <row r="16" spans="1:12" ht="12.75" customHeight="1" x14ac:dyDescent="0.25">
      <c r="A16" s="40" t="s">
        <v>848</v>
      </c>
      <c r="B16" s="490">
        <v>1000</v>
      </c>
      <c r="C16" s="155">
        <f>SUM(C6:C15)</f>
        <v>198580177.17999998</v>
      </c>
      <c r="D16" s="155">
        <f t="shared" ref="D16:L16" si="1">SUM(D6:D15)</f>
        <v>0</v>
      </c>
      <c r="E16" s="155">
        <f t="shared" si="1"/>
        <v>0</v>
      </c>
      <c r="F16" s="155">
        <f t="shared" si="1"/>
        <v>0</v>
      </c>
      <c r="G16" s="155">
        <f t="shared" si="1"/>
        <v>0</v>
      </c>
      <c r="H16" s="155">
        <f t="shared" si="1"/>
        <v>0</v>
      </c>
      <c r="I16" s="155">
        <f t="shared" si="1"/>
        <v>0</v>
      </c>
      <c r="J16" s="155">
        <f t="shared" si="1"/>
        <v>0</v>
      </c>
      <c r="K16" s="155">
        <f t="shared" si="1"/>
        <v>198580177.17999998</v>
      </c>
      <c r="L16" s="155">
        <f t="shared" si="1"/>
        <v>0</v>
      </c>
    </row>
    <row r="17" spans="1:11" ht="12.75" customHeight="1" x14ac:dyDescent="0.25">
      <c r="A17" s="64" t="s">
        <v>732</v>
      </c>
      <c r="B17" s="317"/>
      <c r="C17" s="37"/>
      <c r="D17" s="37"/>
      <c r="E17" s="37"/>
      <c r="F17" s="37"/>
      <c r="G17" s="37"/>
      <c r="H17" s="37"/>
      <c r="I17" s="37"/>
      <c r="J17" s="37"/>
      <c r="K17" s="37"/>
    </row>
    <row r="18" spans="1:11" ht="12.75" customHeight="1" x14ac:dyDescent="0.25">
      <c r="A18" s="73" t="s">
        <v>569</v>
      </c>
    </row>
    <row r="19" spans="1:11" ht="12.75" x14ac:dyDescent="0.25"/>
    <row r="20" spans="1:11" ht="12.75" x14ac:dyDescent="0.25"/>
    <row r="21" spans="1:11" ht="12.75" x14ac:dyDescent="0.25"/>
    <row r="22" spans="1:11" ht="12.75" x14ac:dyDescent="0.25"/>
    <row r="23" spans="1:11" ht="12.75" x14ac:dyDescent="0.25"/>
    <row r="24" spans="1:11" ht="12.75" x14ac:dyDescent="0.25"/>
    <row r="25" spans="1:11" ht="12.75" x14ac:dyDescent="0.25"/>
    <row r="26" spans="1:11" ht="12.75" x14ac:dyDescent="0.25"/>
    <row r="27" spans="1:11" ht="12.75" x14ac:dyDescent="0.25"/>
    <row r="28" spans="1:11" ht="12.75" x14ac:dyDescent="0.25"/>
    <row r="29" spans="1:11" ht="12.75" x14ac:dyDescent="0.25"/>
    <row r="30" spans="1:11" ht="12.75" x14ac:dyDescent="0.25"/>
    <row r="31" spans="1:11" ht="12.75" x14ac:dyDescent="0.25"/>
    <row r="32" spans="1:11" ht="12.75" customHeight="1" x14ac:dyDescent="0.25"/>
    <row r="33" ht="11.65" customHeight="1" x14ac:dyDescent="0.25"/>
    <row r="34" ht="11.65" customHeight="1" x14ac:dyDescent="0.25"/>
    <row r="35" ht="11.65" customHeight="1" x14ac:dyDescent="0.25"/>
    <row r="36" ht="11.65" customHeight="1" x14ac:dyDescent="0.25"/>
    <row r="37" ht="11.65" customHeight="1" x14ac:dyDescent="0.25"/>
    <row r="38" ht="11.65" customHeight="1" x14ac:dyDescent="0.25"/>
    <row r="39" ht="11.65" customHeight="1" x14ac:dyDescent="0.25"/>
    <row r="40" ht="11.65" customHeight="1" x14ac:dyDescent="0.25"/>
    <row r="41" ht="11.65" customHeight="1" x14ac:dyDescent="0.25"/>
    <row r="42" ht="11.65" customHeight="1" x14ac:dyDescent="0.25"/>
    <row r="43" ht="11.65" customHeight="1" x14ac:dyDescent="0.25"/>
    <row r="44" ht="11.65" customHeight="1" x14ac:dyDescent="0.25"/>
  </sheetData>
  <mergeCells count="13">
    <mergeCell ref="B2:B4"/>
    <mergeCell ref="C3:C4"/>
    <mergeCell ref="D3:D4"/>
    <mergeCell ref="L2:L4"/>
    <mergeCell ref="A1:K1"/>
    <mergeCell ref="I3:I4"/>
    <mergeCell ref="J3:J4"/>
    <mergeCell ref="K3:K4"/>
    <mergeCell ref="E3:E4"/>
    <mergeCell ref="F3:F4"/>
    <mergeCell ref="G3:G4"/>
    <mergeCell ref="H3:H4"/>
    <mergeCell ref="A2:A3"/>
  </mergeCells>
  <phoneticPr fontId="2" type="noConversion"/>
  <printOptions horizontalCentered="1"/>
  <pageMargins left="0.35433070866141736" right="0.15748031496062992" top="0.78740157480314965" bottom="0.59055118110236227" header="0.51181102362204722" footer="0.39370078740157483"/>
  <pageSetup paperSize="8" scale="150" orientation="landscape" r:id="rId1"/>
  <headerFooter alignWithMargins="0">
    <oddFooter>&amp;L&amp;F&amp;C&amp;A&amp;R&amp;D</oddFoot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13"/>
  <sheetViews>
    <sheetView workbookViewId="0"/>
  </sheetViews>
  <sheetFormatPr defaultRowHeight="12.75" x14ac:dyDescent="0.2"/>
  <cols>
    <col min="1" max="1" width="27.42578125" bestFit="1" customWidth="1"/>
    <col min="2" max="2" width="12" bestFit="1" customWidth="1"/>
    <col min="3" max="4" width="11.5703125" bestFit="1" customWidth="1"/>
    <col min="5" max="5" width="12.5703125" bestFit="1" customWidth="1"/>
    <col min="6" max="7" width="13.7109375" bestFit="1" customWidth="1"/>
    <col min="8" max="8" width="11.28515625" bestFit="1" customWidth="1"/>
    <col min="9" max="9" width="10.28515625" bestFit="1" customWidth="1"/>
    <col min="10" max="10" width="12" bestFit="1" customWidth="1"/>
    <col min="11" max="11" width="10.42578125" bestFit="1" customWidth="1"/>
    <col min="12" max="12" width="12.42578125" bestFit="1" customWidth="1"/>
  </cols>
  <sheetData>
    <row r="1" spans="1:10" x14ac:dyDescent="0.2">
      <c r="A1" s="630" t="s">
        <v>973</v>
      </c>
      <c r="B1" s="630" t="s">
        <v>1638</v>
      </c>
      <c r="C1" s="630" t="s">
        <v>2118</v>
      </c>
      <c r="D1" s="630" t="s">
        <v>1639</v>
      </c>
      <c r="E1" s="630" t="s">
        <v>1640</v>
      </c>
      <c r="F1" s="630" t="s">
        <v>1641</v>
      </c>
      <c r="G1" s="630" t="s">
        <v>1642</v>
      </c>
      <c r="H1" s="630" t="s">
        <v>1643</v>
      </c>
      <c r="I1" s="630" t="s">
        <v>2119</v>
      </c>
      <c r="J1" s="630" t="s">
        <v>2120</v>
      </c>
    </row>
    <row r="2" spans="1:10" x14ac:dyDescent="0.2">
      <c r="A2" s="630" t="s">
        <v>2121</v>
      </c>
      <c r="B2" s="630" t="s">
        <v>1637</v>
      </c>
      <c r="C2" s="630" t="s">
        <v>973</v>
      </c>
      <c r="D2" s="630" t="s">
        <v>973</v>
      </c>
      <c r="E2" s="630" t="s">
        <v>973</v>
      </c>
      <c r="F2" s="630" t="s">
        <v>973</v>
      </c>
      <c r="G2" s="630" t="s">
        <v>973</v>
      </c>
      <c r="H2" s="630" t="s">
        <v>973</v>
      </c>
      <c r="I2" s="630" t="s">
        <v>973</v>
      </c>
      <c r="J2" s="630" t="s">
        <v>1637</v>
      </c>
    </row>
    <row r="3" spans="1:10" x14ac:dyDescent="0.2">
      <c r="A3" s="630" t="s">
        <v>634</v>
      </c>
      <c r="B3">
        <v>146069507.13</v>
      </c>
      <c r="J3">
        <v>146069507.13</v>
      </c>
    </row>
    <row r="4" spans="1:10" x14ac:dyDescent="0.2">
      <c r="A4" s="630" t="s">
        <v>636</v>
      </c>
    </row>
    <row r="5" spans="1:10" x14ac:dyDescent="0.2">
      <c r="A5" s="630" t="s">
        <v>638</v>
      </c>
      <c r="B5">
        <v>15630309.23</v>
      </c>
      <c r="J5">
        <v>15630309.23</v>
      </c>
    </row>
    <row r="6" spans="1:10" x14ac:dyDescent="0.2">
      <c r="A6" s="630" t="s">
        <v>2122</v>
      </c>
    </row>
    <row r="7" spans="1:10" x14ac:dyDescent="0.2">
      <c r="A7" s="630" t="s">
        <v>2123</v>
      </c>
      <c r="B7">
        <v>14486482.119999999</v>
      </c>
      <c r="J7">
        <v>14486482.119999999</v>
      </c>
    </row>
    <row r="8" spans="1:10" x14ac:dyDescent="0.2">
      <c r="A8" s="630" t="s">
        <v>2124</v>
      </c>
    </row>
    <row r="9" spans="1:10" x14ac:dyDescent="0.2">
      <c r="A9" s="630" t="s">
        <v>546</v>
      </c>
      <c r="B9">
        <v>22393878.699999999</v>
      </c>
      <c r="J9">
        <v>22393878.699999999</v>
      </c>
    </row>
    <row r="10" spans="1:10" x14ac:dyDescent="0.2">
      <c r="A10" s="630" t="s">
        <v>548</v>
      </c>
    </row>
    <row r="11" spans="1:10" x14ac:dyDescent="0.2">
      <c r="A11" s="630" t="s">
        <v>666</v>
      </c>
    </row>
    <row r="12" spans="1:10" x14ac:dyDescent="0.2">
      <c r="A12" s="630" t="s">
        <v>2047</v>
      </c>
    </row>
    <row r="13" spans="1:10" x14ac:dyDescent="0.2">
      <c r="A13" s="630" t="s">
        <v>41</v>
      </c>
      <c r="B13">
        <v>198580177.18000001</v>
      </c>
      <c r="J13">
        <v>198580177.18000001</v>
      </c>
    </row>
  </sheetData>
  <pageMargins left="0.7" right="0.7" top="0.75" bottom="0.75" header="0.3" footer="0.3"/>
  <customProperties>
    <customPr name="_pios_id" r:id="rId1"/>
    <customPr name="CofWorksheetType"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sheetPr>
  <dimension ref="A1:O68"/>
  <sheetViews>
    <sheetView showGridLines="0" zoomScaleNormal="100" workbookViewId="0">
      <pane xSplit="1" ySplit="3" topLeftCell="B4" activePane="bottomRight" state="frozen"/>
      <selection pane="topRight"/>
      <selection pane="bottomLeft"/>
      <selection pane="bottomRight" sqref="A1:J1"/>
    </sheetView>
  </sheetViews>
  <sheetFormatPr defaultColWidth="9.28515625" defaultRowHeight="12.75" x14ac:dyDescent="0.25"/>
  <cols>
    <col min="1" max="1" width="34.28515625" style="21" customWidth="1"/>
    <col min="2" max="2" width="3.5703125" style="47" customWidth="1"/>
    <col min="3" max="10" width="8.7109375" style="21" customWidth="1"/>
    <col min="11" max="11" width="9.7109375" style="21" customWidth="1"/>
    <col min="12" max="12" width="9.7109375" style="21" bestFit="1" customWidth="1"/>
    <col min="13" max="14" width="9.7109375" style="21" customWidth="1"/>
    <col min="15" max="15" width="9.5703125" style="21" customWidth="1"/>
    <col min="16" max="16" width="9.7109375" style="21" customWidth="1"/>
    <col min="17" max="19" width="9.5703125" style="21" customWidth="1"/>
    <col min="20" max="20" width="9.7109375" style="21" customWidth="1"/>
    <col min="21" max="23" width="9.5703125" style="21" customWidth="1"/>
    <col min="24" max="25" width="9.7109375" style="21" customWidth="1"/>
    <col min="26" max="16384" width="9.28515625" style="21"/>
  </cols>
  <sheetData>
    <row r="1" spans="1:15" ht="13.5" x14ac:dyDescent="0.25">
      <c r="A1" s="848" t="str">
        <f>muni&amp; " - "&amp;S71K&amp; " - "&amp;Head57</f>
        <v>KZN282 uMhlathuze - Supporting Table SC5 Monthly Budget Statement - investment portfolio  - M10 April</v>
      </c>
      <c r="B1" s="848"/>
      <c r="C1" s="848"/>
      <c r="D1" s="848"/>
      <c r="E1" s="848"/>
      <c r="F1" s="848"/>
      <c r="G1" s="848"/>
      <c r="H1" s="848"/>
      <c r="I1" s="848"/>
      <c r="J1" s="848"/>
    </row>
    <row r="2" spans="1:15" ht="54" customHeight="1" x14ac:dyDescent="0.25">
      <c r="A2" s="432" t="s">
        <v>825</v>
      </c>
      <c r="B2" s="858" t="s">
        <v>524</v>
      </c>
      <c r="C2" s="306" t="s">
        <v>109</v>
      </c>
      <c r="D2" s="875" t="s">
        <v>556</v>
      </c>
      <c r="E2" s="504" t="s">
        <v>1256</v>
      </c>
      <c r="F2" s="504" t="s">
        <v>1257</v>
      </c>
      <c r="G2" s="504" t="s">
        <v>1258</v>
      </c>
      <c r="H2" s="504" t="s">
        <v>1259</v>
      </c>
      <c r="I2" s="504" t="s">
        <v>1260</v>
      </c>
      <c r="J2" s="877" t="s">
        <v>557</v>
      </c>
      <c r="K2" s="305" t="s">
        <v>1261</v>
      </c>
      <c r="L2" s="77" t="s">
        <v>1262</v>
      </c>
      <c r="M2" s="306" t="s">
        <v>1263</v>
      </c>
      <c r="N2" s="306" t="s">
        <v>1264</v>
      </c>
      <c r="O2" s="77" t="s">
        <v>1265</v>
      </c>
    </row>
    <row r="3" spans="1:15" ht="12.75" customHeight="1" x14ac:dyDescent="0.25">
      <c r="A3" s="28" t="s">
        <v>615</v>
      </c>
      <c r="B3" s="860"/>
      <c r="C3" s="505" t="s">
        <v>110</v>
      </c>
      <c r="D3" s="876"/>
      <c r="E3" s="506"/>
      <c r="F3" s="506"/>
      <c r="G3" s="506"/>
      <c r="H3" s="506"/>
      <c r="I3" s="506"/>
      <c r="J3" s="869"/>
      <c r="K3" s="872"/>
      <c r="L3" s="873"/>
      <c r="M3" s="873"/>
      <c r="N3" s="873"/>
      <c r="O3" s="874"/>
    </row>
    <row r="4" spans="1:15" ht="12.75" customHeight="1" x14ac:dyDescent="0.25">
      <c r="A4" s="29" t="s">
        <v>320</v>
      </c>
      <c r="B4" s="90"/>
      <c r="C4" s="36"/>
      <c r="D4" s="34"/>
      <c r="E4" s="34"/>
      <c r="F4" s="34"/>
      <c r="G4" s="34"/>
      <c r="H4" s="34"/>
      <c r="I4" s="34"/>
      <c r="J4" s="78"/>
      <c r="O4" s="488"/>
    </row>
    <row r="5" spans="1:15" ht="12.75" customHeight="1" x14ac:dyDescent="0.25">
      <c r="A5" s="815" t="s">
        <v>2100</v>
      </c>
      <c r="B5" s="90"/>
      <c r="C5" s="813" t="s">
        <v>2111</v>
      </c>
      <c r="D5" s="817" t="s">
        <v>2111</v>
      </c>
      <c r="E5" s="817" t="s">
        <v>60</v>
      </c>
      <c r="F5" s="817" t="s">
        <v>2112</v>
      </c>
      <c r="G5" s="811">
        <v>7.5999999999999998E-2</v>
      </c>
      <c r="H5" s="817">
        <v>0</v>
      </c>
      <c r="I5" s="817">
        <v>0</v>
      </c>
      <c r="J5" s="818" t="s">
        <v>2113</v>
      </c>
      <c r="K5" s="366">
        <v>1163701</v>
      </c>
      <c r="L5" s="366">
        <v>7030</v>
      </c>
      <c r="M5" s="366" t="s">
        <v>2127</v>
      </c>
      <c r="N5" s="366" t="s">
        <v>2128</v>
      </c>
      <c r="O5" s="69">
        <f>SUM(K5:N5)</f>
        <v>1170731</v>
      </c>
    </row>
    <row r="6" spans="1:15" ht="12.75" customHeight="1" x14ac:dyDescent="0.25">
      <c r="A6" s="815" t="s">
        <v>2101</v>
      </c>
      <c r="B6" s="90"/>
      <c r="C6" s="813" t="s">
        <v>2111</v>
      </c>
      <c r="D6" s="817" t="s">
        <v>2111</v>
      </c>
      <c r="E6" s="817" t="s">
        <v>60</v>
      </c>
      <c r="F6" s="817" t="s">
        <v>2112</v>
      </c>
      <c r="G6" s="811">
        <v>7.5999999999999998E-2</v>
      </c>
      <c r="H6" s="817">
        <v>0</v>
      </c>
      <c r="I6" s="817">
        <v>0</v>
      </c>
      <c r="J6" s="818" t="s">
        <v>2113</v>
      </c>
      <c r="K6" s="366">
        <v>2982554</v>
      </c>
      <c r="L6" s="366">
        <v>18018</v>
      </c>
      <c r="M6" s="366" t="s">
        <v>2127</v>
      </c>
      <c r="N6" s="366" t="s">
        <v>2128</v>
      </c>
      <c r="O6" s="69">
        <f t="shared" ref="O6:O23" si="0">SUM(K6:N6)</f>
        <v>3000572</v>
      </c>
    </row>
    <row r="7" spans="1:15" ht="12.75" customHeight="1" x14ac:dyDescent="0.25">
      <c r="A7" s="815" t="s">
        <v>2102</v>
      </c>
      <c r="B7" s="90"/>
      <c r="C7" s="813" t="s">
        <v>2111</v>
      </c>
      <c r="D7" s="817" t="s">
        <v>2111</v>
      </c>
      <c r="E7" s="817" t="s">
        <v>60</v>
      </c>
      <c r="F7" s="817" t="s">
        <v>2112</v>
      </c>
      <c r="G7" s="811">
        <v>7.5999999999999998E-2</v>
      </c>
      <c r="H7" s="817">
        <v>0</v>
      </c>
      <c r="I7" s="817">
        <v>0</v>
      </c>
      <c r="J7" s="818" t="s">
        <v>2113</v>
      </c>
      <c r="K7" s="366">
        <v>117449</v>
      </c>
      <c r="L7" s="366">
        <v>710</v>
      </c>
      <c r="M7" s="366" t="s">
        <v>2127</v>
      </c>
      <c r="N7" s="366" t="s">
        <v>2128</v>
      </c>
      <c r="O7" s="69">
        <f t="shared" si="0"/>
        <v>118159</v>
      </c>
    </row>
    <row r="8" spans="1:15" ht="12.75" customHeight="1" x14ac:dyDescent="0.25">
      <c r="A8" s="815" t="s">
        <v>2103</v>
      </c>
      <c r="B8" s="90"/>
      <c r="C8" s="813" t="s">
        <v>2111</v>
      </c>
      <c r="D8" s="817" t="s">
        <v>2111</v>
      </c>
      <c r="E8" s="817" t="s">
        <v>60</v>
      </c>
      <c r="F8" s="817" t="s">
        <v>2112</v>
      </c>
      <c r="G8" s="811">
        <v>7.5999999999999998E-2</v>
      </c>
      <c r="H8" s="817">
        <v>0</v>
      </c>
      <c r="I8" s="817">
        <v>0</v>
      </c>
      <c r="J8" s="818" t="s">
        <v>2113</v>
      </c>
      <c r="K8" s="366">
        <v>50826798</v>
      </c>
      <c r="L8" s="366">
        <v>345713</v>
      </c>
      <c r="M8" s="366" t="s">
        <v>2127</v>
      </c>
      <c r="N8" s="366">
        <v>32000000</v>
      </c>
      <c r="O8" s="69">
        <f t="shared" si="0"/>
        <v>83172511</v>
      </c>
    </row>
    <row r="9" spans="1:15" ht="12.75" customHeight="1" x14ac:dyDescent="0.25">
      <c r="A9" s="815" t="s">
        <v>2125</v>
      </c>
      <c r="B9" s="90"/>
      <c r="C9" s="813" t="s">
        <v>2111</v>
      </c>
      <c r="D9" s="817" t="s">
        <v>2111</v>
      </c>
      <c r="E9" s="817" t="s">
        <v>60</v>
      </c>
      <c r="F9" s="817" t="s">
        <v>2112</v>
      </c>
      <c r="G9" s="811">
        <v>7.5999999999999998E-2</v>
      </c>
      <c r="H9" s="817">
        <v>0</v>
      </c>
      <c r="I9" s="817">
        <v>0</v>
      </c>
      <c r="J9" s="818" t="s">
        <v>2113</v>
      </c>
      <c r="K9" s="366">
        <v>164302217</v>
      </c>
      <c r="L9" s="366">
        <v>992565</v>
      </c>
      <c r="M9" s="366" t="s">
        <v>2127</v>
      </c>
      <c r="N9" s="366" t="s">
        <v>2128</v>
      </c>
      <c r="O9" s="69">
        <f t="shared" si="0"/>
        <v>165294782</v>
      </c>
    </row>
    <row r="10" spans="1:15" ht="12.75" customHeight="1" x14ac:dyDescent="0.25">
      <c r="A10" s="815" t="s">
        <v>2104</v>
      </c>
      <c r="B10" s="90"/>
      <c r="C10" s="813" t="s">
        <v>2111</v>
      </c>
      <c r="D10" s="817" t="s">
        <v>2111</v>
      </c>
      <c r="E10" s="817" t="s">
        <v>60</v>
      </c>
      <c r="F10" s="817" t="s">
        <v>2112</v>
      </c>
      <c r="G10" s="811">
        <v>7.5999999999999998E-2</v>
      </c>
      <c r="H10" s="817">
        <v>0</v>
      </c>
      <c r="I10" s="817">
        <v>0</v>
      </c>
      <c r="J10" s="818" t="s">
        <v>2113</v>
      </c>
      <c r="K10" s="366">
        <v>1189075</v>
      </c>
      <c r="L10" s="366">
        <v>7183</v>
      </c>
      <c r="M10" s="366" t="s">
        <v>2127</v>
      </c>
      <c r="N10" s="366" t="s">
        <v>2128</v>
      </c>
      <c r="O10" s="69">
        <f t="shared" si="0"/>
        <v>1196258</v>
      </c>
    </row>
    <row r="11" spans="1:15" ht="12.75" customHeight="1" x14ac:dyDescent="0.25">
      <c r="A11" s="815" t="s">
        <v>2126</v>
      </c>
      <c r="B11" s="90"/>
      <c r="C11" s="813" t="s">
        <v>2111</v>
      </c>
      <c r="D11" s="817" t="s">
        <v>2111</v>
      </c>
      <c r="E11" s="817" t="s">
        <v>60</v>
      </c>
      <c r="F11" s="817" t="s">
        <v>2112</v>
      </c>
      <c r="G11" s="811">
        <v>7.5999999999999998E-2</v>
      </c>
      <c r="H11" s="817">
        <v>0</v>
      </c>
      <c r="I11" s="817">
        <v>0</v>
      </c>
      <c r="J11" s="818" t="s">
        <v>2113</v>
      </c>
      <c r="K11" s="366">
        <v>136449</v>
      </c>
      <c r="L11" s="366">
        <v>824</v>
      </c>
      <c r="M11" s="366" t="s">
        <v>2127</v>
      </c>
      <c r="N11" s="366" t="s">
        <v>2128</v>
      </c>
      <c r="O11" s="69">
        <f t="shared" si="0"/>
        <v>137273</v>
      </c>
    </row>
    <row r="12" spans="1:15" ht="12.75" customHeight="1" x14ac:dyDescent="0.25">
      <c r="A12" s="815" t="s">
        <v>2105</v>
      </c>
      <c r="B12" s="90"/>
      <c r="C12" s="813" t="s">
        <v>2111</v>
      </c>
      <c r="D12" s="817" t="s">
        <v>2111</v>
      </c>
      <c r="E12" s="817" t="s">
        <v>60</v>
      </c>
      <c r="F12" s="817" t="s">
        <v>2112</v>
      </c>
      <c r="G12" s="811">
        <v>7.5999999999999998E-2</v>
      </c>
      <c r="H12" s="817">
        <v>0</v>
      </c>
      <c r="I12" s="817">
        <v>0</v>
      </c>
      <c r="J12" s="818" t="s">
        <v>2113</v>
      </c>
      <c r="K12" s="366">
        <v>2176221</v>
      </c>
      <c r="L12" s="366">
        <v>14153</v>
      </c>
      <c r="M12" s="366" t="s">
        <v>2127</v>
      </c>
      <c r="N12" s="366" t="s">
        <v>2128</v>
      </c>
      <c r="O12" s="69">
        <f t="shared" si="0"/>
        <v>2190374</v>
      </c>
    </row>
    <row r="13" spans="1:15" ht="12.75" customHeight="1" x14ac:dyDescent="0.25">
      <c r="A13" s="815" t="s">
        <v>2106</v>
      </c>
      <c r="B13" s="90"/>
      <c r="C13" s="813" t="s">
        <v>2114</v>
      </c>
      <c r="D13" s="817" t="s">
        <v>2114</v>
      </c>
      <c r="E13" s="817" t="s">
        <v>60</v>
      </c>
      <c r="F13" s="817" t="s">
        <v>2112</v>
      </c>
      <c r="G13" s="811">
        <v>7.5999999999999998E-2</v>
      </c>
      <c r="H13" s="817">
        <v>0</v>
      </c>
      <c r="I13" s="817">
        <v>0</v>
      </c>
      <c r="J13" s="818" t="s">
        <v>2113</v>
      </c>
      <c r="K13" s="366">
        <v>89290</v>
      </c>
      <c r="L13" s="366">
        <v>539</v>
      </c>
      <c r="M13" s="366" t="s">
        <v>2127</v>
      </c>
      <c r="N13" s="366" t="s">
        <v>2128</v>
      </c>
      <c r="O13" s="69">
        <f t="shared" si="0"/>
        <v>89829</v>
      </c>
    </row>
    <row r="14" spans="1:15" ht="12.75" customHeight="1" x14ac:dyDescent="0.25">
      <c r="A14" s="815" t="s">
        <v>2107</v>
      </c>
      <c r="B14" s="90"/>
      <c r="C14" s="813" t="s">
        <v>2114</v>
      </c>
      <c r="D14" s="813" t="s">
        <v>2114</v>
      </c>
      <c r="E14" s="817" t="s">
        <v>60</v>
      </c>
      <c r="F14" s="817" t="s">
        <v>2112</v>
      </c>
      <c r="G14" s="811">
        <v>6.6000000000000003E-2</v>
      </c>
      <c r="H14" s="817">
        <v>0</v>
      </c>
      <c r="I14" s="817">
        <v>0</v>
      </c>
      <c r="J14" s="818" t="s">
        <v>2113</v>
      </c>
      <c r="K14" s="366">
        <v>10277003</v>
      </c>
      <c r="L14" s="366" t="s">
        <v>2127</v>
      </c>
      <c r="M14" s="366" t="s">
        <v>2127</v>
      </c>
      <c r="N14" s="366" t="s">
        <v>2128</v>
      </c>
      <c r="O14" s="69">
        <v>50000</v>
      </c>
    </row>
    <row r="15" spans="1:15" ht="12.75" customHeight="1" x14ac:dyDescent="0.25">
      <c r="A15" s="815" t="s">
        <v>2108</v>
      </c>
      <c r="B15" s="90"/>
      <c r="C15" s="813" t="s">
        <v>2114</v>
      </c>
      <c r="D15" s="813" t="s">
        <v>2114</v>
      </c>
      <c r="E15" s="817" t="s">
        <v>60</v>
      </c>
      <c r="F15" s="817" t="s">
        <v>2112</v>
      </c>
      <c r="G15" s="811">
        <v>6.6000000000000003E-2</v>
      </c>
      <c r="H15" s="817">
        <v>0</v>
      </c>
      <c r="I15" s="817">
        <v>0</v>
      </c>
      <c r="J15" s="818" t="s">
        <v>2113</v>
      </c>
      <c r="K15" s="366">
        <v>6988787</v>
      </c>
      <c r="L15" s="366" t="s">
        <v>2127</v>
      </c>
      <c r="M15" s="366" t="s">
        <v>2127</v>
      </c>
      <c r="N15" s="366" t="s">
        <v>2128</v>
      </c>
      <c r="O15" s="69">
        <v>33937299</v>
      </c>
    </row>
    <row r="16" spans="1:15" ht="12.75" customHeight="1" x14ac:dyDescent="0.25">
      <c r="A16" s="816" t="s">
        <v>2109</v>
      </c>
      <c r="B16" s="90"/>
      <c r="C16" s="813" t="s">
        <v>2114</v>
      </c>
      <c r="D16" s="813" t="s">
        <v>2114</v>
      </c>
      <c r="E16" s="814" t="s">
        <v>60</v>
      </c>
      <c r="F16" s="817" t="s">
        <v>2111</v>
      </c>
      <c r="G16" s="811">
        <v>8.4000000000000005E-2</v>
      </c>
      <c r="H16" s="817">
        <v>0</v>
      </c>
      <c r="I16" s="817">
        <v>0</v>
      </c>
      <c r="J16" s="818" t="s">
        <v>2113</v>
      </c>
      <c r="K16" s="366">
        <v>92340493</v>
      </c>
      <c r="L16" s="366">
        <v>621370</v>
      </c>
      <c r="M16" s="366" t="s">
        <v>2127</v>
      </c>
      <c r="N16" s="366" t="s">
        <v>2128</v>
      </c>
      <c r="O16" s="69">
        <v>92961863</v>
      </c>
    </row>
    <row r="17" spans="1:15" ht="12.75" customHeight="1" x14ac:dyDescent="0.25">
      <c r="A17" s="816" t="s">
        <v>2110</v>
      </c>
      <c r="B17" s="90"/>
      <c r="C17" s="813" t="s">
        <v>2114</v>
      </c>
      <c r="D17" s="813" t="s">
        <v>2114</v>
      </c>
      <c r="E17" s="814" t="s">
        <v>60</v>
      </c>
      <c r="F17" s="817" t="s">
        <v>2112</v>
      </c>
      <c r="G17" s="811">
        <v>8.4000000000000005E-2</v>
      </c>
      <c r="H17" s="817">
        <v>0</v>
      </c>
      <c r="I17" s="817">
        <v>0</v>
      </c>
      <c r="J17" s="818" t="s">
        <v>2115</v>
      </c>
      <c r="K17" s="366">
        <v>91123525</v>
      </c>
      <c r="L17" s="366">
        <v>624181</v>
      </c>
      <c r="M17" s="366" t="s">
        <v>2127</v>
      </c>
      <c r="N17" s="366" t="s">
        <v>2128</v>
      </c>
      <c r="O17" s="69">
        <v>91747706</v>
      </c>
    </row>
    <row r="18" spans="1:15" ht="12.75" customHeight="1" x14ac:dyDescent="0.25">
      <c r="A18" s="816" t="s">
        <v>2110</v>
      </c>
      <c r="B18" s="90"/>
      <c r="C18" s="813" t="s">
        <v>2114</v>
      </c>
      <c r="D18" s="813" t="s">
        <v>2114</v>
      </c>
      <c r="E18" s="814" t="s">
        <v>60</v>
      </c>
      <c r="F18" s="817" t="s">
        <v>2112</v>
      </c>
      <c r="G18" s="811">
        <v>8.3000000000000004E-2</v>
      </c>
      <c r="H18" s="813">
        <v>0</v>
      </c>
      <c r="I18" s="813">
        <v>0</v>
      </c>
      <c r="J18" s="818" t="s">
        <v>2116</v>
      </c>
      <c r="K18" s="366">
        <v>91108479</v>
      </c>
      <c r="L18" s="366">
        <v>287384</v>
      </c>
      <c r="M18" s="366">
        <v>-91395863</v>
      </c>
      <c r="N18" s="366" t="s">
        <v>2128</v>
      </c>
      <c r="O18" s="69">
        <f t="shared" si="0"/>
        <v>0</v>
      </c>
    </row>
    <row r="19" spans="1:15" ht="12.75" customHeight="1" x14ac:dyDescent="0.25">
      <c r="A19" s="816" t="s">
        <v>2110</v>
      </c>
      <c r="B19" s="90"/>
      <c r="C19" s="813" t="s">
        <v>2114</v>
      </c>
      <c r="D19" s="813" t="s">
        <v>2114</v>
      </c>
      <c r="E19" s="813" t="s">
        <v>60</v>
      </c>
      <c r="F19" s="813" t="s">
        <v>2112</v>
      </c>
      <c r="G19" s="811">
        <v>8.4000000000000005E-2</v>
      </c>
      <c r="H19" s="813">
        <v>0</v>
      </c>
      <c r="I19" s="813">
        <v>0</v>
      </c>
      <c r="J19" s="812" t="s">
        <v>2117</v>
      </c>
      <c r="K19" s="366">
        <v>90308836</v>
      </c>
      <c r="L19" s="366">
        <v>617671</v>
      </c>
      <c r="M19" s="366" t="s">
        <v>2127</v>
      </c>
      <c r="N19" s="366" t="s">
        <v>2128</v>
      </c>
      <c r="O19" s="69">
        <f t="shared" si="0"/>
        <v>90926507</v>
      </c>
    </row>
    <row r="20" spans="1:15" ht="12.75" customHeight="1" x14ac:dyDescent="0.25">
      <c r="A20" s="668"/>
      <c r="B20" s="90"/>
      <c r="C20" s="813"/>
      <c r="D20" s="813"/>
      <c r="E20" s="813"/>
      <c r="F20" s="813"/>
      <c r="G20" s="811"/>
      <c r="H20" s="813"/>
      <c r="I20" s="813"/>
      <c r="J20" s="812"/>
      <c r="K20" s="366"/>
      <c r="L20" s="366"/>
      <c r="M20" s="366"/>
      <c r="N20" s="366"/>
      <c r="O20" s="69">
        <f t="shared" si="0"/>
        <v>0</v>
      </c>
    </row>
    <row r="21" spans="1:15" ht="12.75" customHeight="1" x14ac:dyDescent="0.25">
      <c r="A21" s="668"/>
      <c r="B21" s="90"/>
      <c r="C21" s="813"/>
      <c r="D21" s="813"/>
      <c r="E21" s="813"/>
      <c r="F21" s="813"/>
      <c r="G21" s="811"/>
      <c r="H21" s="813"/>
      <c r="I21" s="813"/>
      <c r="J21" s="812"/>
      <c r="K21" s="366"/>
      <c r="L21" s="366"/>
      <c r="M21" s="366"/>
      <c r="N21" s="366"/>
      <c r="O21" s="69">
        <f t="shared" si="0"/>
        <v>0</v>
      </c>
    </row>
    <row r="22" spans="1:15" ht="12.75" customHeight="1" x14ac:dyDescent="0.25">
      <c r="A22" s="668"/>
      <c r="B22" s="90"/>
      <c r="C22" s="813"/>
      <c r="D22" s="813"/>
      <c r="E22" s="813"/>
      <c r="F22" s="813"/>
      <c r="G22" s="811"/>
      <c r="H22" s="813"/>
      <c r="I22" s="813"/>
      <c r="J22" s="796"/>
      <c r="K22" s="366"/>
      <c r="L22" s="366"/>
      <c r="M22" s="366"/>
      <c r="N22" s="366"/>
      <c r="O22" s="69">
        <f t="shared" si="0"/>
        <v>0</v>
      </c>
    </row>
    <row r="23" spans="1:15" ht="12.75" customHeight="1" x14ac:dyDescent="0.25">
      <c r="A23" s="668"/>
      <c r="B23" s="90"/>
      <c r="C23" s="813"/>
      <c r="D23" s="813"/>
      <c r="E23" s="813"/>
      <c r="F23" s="813"/>
      <c r="G23" s="811"/>
      <c r="H23" s="813"/>
      <c r="I23" s="813"/>
      <c r="J23" s="796"/>
      <c r="K23" s="331"/>
      <c r="L23" s="331"/>
      <c r="M23" s="331"/>
      <c r="N23" s="806"/>
      <c r="O23" s="69">
        <f t="shared" si="0"/>
        <v>0</v>
      </c>
    </row>
    <row r="24" spans="1:15" ht="12.75" customHeight="1" x14ac:dyDescent="0.25">
      <c r="A24" s="668"/>
      <c r="B24" s="90"/>
      <c r="C24" s="813"/>
      <c r="D24" s="813"/>
      <c r="E24" s="813"/>
      <c r="F24" s="813"/>
      <c r="G24" s="813"/>
      <c r="H24" s="813"/>
      <c r="I24" s="813"/>
      <c r="J24" s="796"/>
      <c r="K24" s="331"/>
      <c r="L24" s="331"/>
      <c r="M24" s="331"/>
      <c r="N24" s="806"/>
      <c r="O24" s="69">
        <f t="shared" ref="O24" si="1">K24+L24+M24+N24</f>
        <v>0</v>
      </c>
    </row>
    <row r="25" spans="1:15" x14ac:dyDescent="0.25">
      <c r="A25" s="59" t="s">
        <v>2045</v>
      </c>
      <c r="B25" s="90"/>
      <c r="C25" s="197"/>
      <c r="D25" s="514"/>
      <c r="E25" s="514"/>
      <c r="F25" s="514"/>
      <c r="G25" s="514"/>
      <c r="H25" s="514"/>
      <c r="I25" s="514"/>
      <c r="J25" s="515"/>
      <c r="K25" s="41">
        <f>SUM(K5:K24)</f>
        <v>605130877</v>
      </c>
      <c r="L25" s="41">
        <f>SUM(L5:L24)</f>
        <v>3537341</v>
      </c>
      <c r="M25" s="41">
        <f>SUM(M5:M24)</f>
        <v>-91395863</v>
      </c>
      <c r="N25" s="41">
        <f>SUM(N5:N24)</f>
        <v>32000000</v>
      </c>
      <c r="O25" s="41">
        <f>SUM(O5:O24)</f>
        <v>565993864</v>
      </c>
    </row>
    <row r="26" spans="1:15" ht="12.75" customHeight="1" x14ac:dyDescent="0.25">
      <c r="A26" s="29" t="s">
        <v>111</v>
      </c>
      <c r="B26" s="90"/>
      <c r="C26" s="197"/>
      <c r="D26" s="514"/>
      <c r="E26" s="514"/>
      <c r="F26" s="514"/>
      <c r="G26" s="514"/>
      <c r="H26" s="514"/>
      <c r="I26" s="515"/>
      <c r="J26" s="515"/>
      <c r="K26" s="36"/>
      <c r="L26" s="148"/>
      <c r="M26" s="34"/>
      <c r="N26" s="34"/>
      <c r="O26" s="78"/>
    </row>
    <row r="27" spans="1:15" ht="12.75" customHeight="1" x14ac:dyDescent="0.25">
      <c r="A27" s="516"/>
      <c r="B27" s="90"/>
      <c r="C27" s="508"/>
      <c r="D27" s="509"/>
      <c r="E27" s="509"/>
      <c r="F27" s="509"/>
      <c r="G27" s="509"/>
      <c r="H27" s="509"/>
      <c r="I27" s="509"/>
      <c r="J27" s="510"/>
      <c r="K27" s="366"/>
      <c r="L27" s="415"/>
      <c r="M27" s="331"/>
      <c r="N27" s="331"/>
      <c r="O27" s="96">
        <f t="shared" ref="O27" si="2">SUM(K27:N27)</f>
        <v>0</v>
      </c>
    </row>
    <row r="28" spans="1:15" ht="12.75" customHeight="1" x14ac:dyDescent="0.25">
      <c r="A28" s="59" t="s">
        <v>112</v>
      </c>
      <c r="B28" s="90"/>
      <c r="C28" s="511"/>
      <c r="D28" s="512"/>
      <c r="E28" s="512"/>
      <c r="F28" s="512"/>
      <c r="G28" s="512"/>
      <c r="H28" s="512"/>
      <c r="I28" s="512"/>
      <c r="J28" s="513"/>
      <c r="K28" s="207">
        <f>SUM(K27:K27)</f>
        <v>0</v>
      </c>
      <c r="L28" s="218"/>
      <c r="M28" s="200">
        <f>SUM(M27:M27)</f>
        <v>0</v>
      </c>
      <c r="N28" s="200">
        <f>SUM(N27:N27)</f>
        <v>0</v>
      </c>
      <c r="O28" s="211">
        <f>SUM(O27:O27)</f>
        <v>0</v>
      </c>
    </row>
    <row r="29" spans="1:15" ht="3.75" customHeight="1" x14ac:dyDescent="0.25">
      <c r="A29" s="32"/>
      <c r="B29" s="90"/>
      <c r="C29" s="197"/>
      <c r="D29" s="514"/>
      <c r="E29" s="514"/>
      <c r="F29" s="514"/>
      <c r="G29" s="514"/>
      <c r="H29" s="514"/>
      <c r="I29" s="514"/>
      <c r="J29" s="515"/>
      <c r="K29" s="39"/>
      <c r="L29" s="149"/>
      <c r="M29" s="38"/>
      <c r="N29" s="38"/>
      <c r="O29" s="96"/>
    </row>
    <row r="30" spans="1:15" ht="12.75" customHeight="1" x14ac:dyDescent="0.25">
      <c r="A30" s="216" t="s">
        <v>113</v>
      </c>
      <c r="B30" s="130">
        <v>2</v>
      </c>
      <c r="C30" s="196"/>
      <c r="D30" s="517"/>
      <c r="E30" s="517"/>
      <c r="F30" s="517"/>
      <c r="G30" s="517"/>
      <c r="H30" s="517"/>
      <c r="I30" s="517"/>
      <c r="J30" s="518"/>
      <c r="K30" s="41">
        <f>K25</f>
        <v>605130877</v>
      </c>
      <c r="L30" s="41">
        <f>L25</f>
        <v>3537341</v>
      </c>
      <c r="M30" s="41">
        <f>M25</f>
        <v>-91395863</v>
      </c>
      <c r="N30" s="41">
        <f>N25</f>
        <v>32000000</v>
      </c>
      <c r="O30" s="41">
        <f>O25</f>
        <v>565993864</v>
      </c>
    </row>
    <row r="31" spans="1:15" ht="12.75" customHeight="1" x14ac:dyDescent="0.25">
      <c r="A31" s="64" t="str">
        <f>head27a</f>
        <v>References</v>
      </c>
      <c r="C31" s="58"/>
      <c r="D31" s="58"/>
      <c r="E31" s="58"/>
      <c r="F31" s="58"/>
      <c r="G31" s="58"/>
      <c r="H31" s="58"/>
      <c r="I31" s="58"/>
      <c r="J31" s="58"/>
    </row>
    <row r="32" spans="1:15" ht="12.75" customHeight="1" x14ac:dyDescent="0.25">
      <c r="A32" s="73" t="s">
        <v>1266</v>
      </c>
      <c r="C32" s="58"/>
      <c r="D32" s="58"/>
      <c r="E32" s="58"/>
      <c r="F32" s="58"/>
      <c r="G32" s="58"/>
      <c r="H32" s="58"/>
      <c r="I32" s="58"/>
      <c r="J32" s="58"/>
    </row>
    <row r="33" spans="1:10" ht="12.75" customHeight="1" x14ac:dyDescent="0.25">
      <c r="A33" s="73" t="s">
        <v>1267</v>
      </c>
      <c r="C33" s="316"/>
      <c r="D33" s="43"/>
      <c r="E33" s="316"/>
      <c r="F33" s="316"/>
      <c r="G33" s="316"/>
      <c r="H33" s="316"/>
      <c r="I33" s="316"/>
      <c r="J33" s="316"/>
    </row>
    <row r="34" spans="1:10" ht="11.25" customHeight="1" x14ac:dyDescent="0.25">
      <c r="A34" s="73" t="s">
        <v>1268</v>
      </c>
      <c r="C34" s="58"/>
      <c r="D34" s="58"/>
      <c r="E34" s="58"/>
      <c r="F34" s="58"/>
      <c r="G34" s="58"/>
      <c r="H34" s="58"/>
      <c r="I34" s="58"/>
      <c r="J34" s="58"/>
    </row>
    <row r="35" spans="1:10" ht="11.25" customHeight="1" x14ac:dyDescent="0.25"/>
    <row r="36" spans="1:10" ht="11.25" customHeight="1" x14ac:dyDescent="0.25"/>
    <row r="37" spans="1:10" ht="11.25" customHeight="1" x14ac:dyDescent="0.25"/>
    <row r="38" spans="1:10" ht="11.25" customHeight="1" x14ac:dyDescent="0.25"/>
    <row r="39" spans="1:10" ht="5.0999999999999996" customHeight="1" x14ac:dyDescent="0.25"/>
    <row r="40" spans="1:10" ht="11.25" customHeight="1" x14ac:dyDescent="0.25"/>
    <row r="41" spans="1:10" ht="5.0999999999999996" customHeight="1" x14ac:dyDescent="0.25"/>
    <row r="42" spans="1:10" ht="11.25" customHeight="1" x14ac:dyDescent="0.25"/>
    <row r="43" spans="1:10" ht="11.25" customHeight="1" x14ac:dyDescent="0.25"/>
    <row r="44" spans="1:10" ht="11.25" customHeight="1" x14ac:dyDescent="0.25"/>
    <row r="45" spans="1:10" ht="5.0999999999999996" customHeight="1" x14ac:dyDescent="0.25"/>
    <row r="46" spans="1:10" ht="11.25" customHeight="1" x14ac:dyDescent="0.25"/>
    <row r="47" spans="1:10" ht="11.25" customHeight="1" x14ac:dyDescent="0.25"/>
    <row r="48" spans="1:10"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5.0999999999999996" customHeight="1" x14ac:dyDescent="0.25"/>
    <row r="59" ht="11.25" customHeight="1" x14ac:dyDescent="0.25"/>
    <row r="60" ht="11.25" customHeight="1" x14ac:dyDescent="0.25"/>
    <row r="61" ht="11.25" customHeight="1" x14ac:dyDescent="0.25"/>
    <row r="62" ht="5.0999999999999996" customHeight="1" x14ac:dyDescent="0.25"/>
    <row r="63" ht="11.25" customHeight="1" x14ac:dyDescent="0.25"/>
    <row r="64" ht="11.25" customHeight="1" x14ac:dyDescent="0.25"/>
    <row r="65" ht="5.0999999999999996" customHeight="1" x14ac:dyDescent="0.25"/>
    <row r="66" ht="11.25" customHeight="1" x14ac:dyDescent="0.25"/>
    <row r="67" ht="11.25" customHeight="1" x14ac:dyDescent="0.25"/>
    <row r="68" ht="11.25" customHeight="1" x14ac:dyDescent="0.25"/>
  </sheetData>
  <mergeCells count="5">
    <mergeCell ref="K3:O3"/>
    <mergeCell ref="A1:J1"/>
    <mergeCell ref="B2:B3"/>
    <mergeCell ref="D2:D3"/>
    <mergeCell ref="J2:J3"/>
  </mergeCells>
  <phoneticPr fontId="2" type="noConversion"/>
  <printOptions horizontalCentered="1"/>
  <pageMargins left="0.15748031496062992" right="0.15748031496062992" top="0.78740157480314965" bottom="0.59055118110236227" header="0.51181102362204722" footer="0.39370078740157483"/>
  <pageSetup paperSize="8" scale="115" orientation="portrait" r:id="rId1"/>
  <headerFooter alignWithMargins="0">
    <oddFooter>&amp;L&amp;F&amp;C&amp;A&amp;R&amp;D</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
  <sheetViews>
    <sheetView workbookViewId="0"/>
  </sheetViews>
  <sheetFormatPr defaultRowHeight="12.75" x14ac:dyDescent="0.2"/>
  <sheetData/>
  <pageMargins left="0.7" right="0.7" top="0.75" bottom="0.75" header="0.3" footer="0.3"/>
  <customProperties>
    <customPr name="_pios_id" r:id="rId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L98"/>
  <sheetViews>
    <sheetView showGridLines="0" zoomScaleNormal="10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40.7109375" style="21" customWidth="1"/>
    <col min="2" max="2" width="3.5703125" style="47" customWidth="1"/>
    <col min="3" max="3" width="9.7109375" style="21" bestFit="1" customWidth="1"/>
    <col min="4" max="4" width="10.28515625" style="21" bestFit="1" customWidth="1"/>
    <col min="5" max="8" width="8.7109375" style="21" customWidth="1"/>
    <col min="9"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ht="13.5" x14ac:dyDescent="0.25">
      <c r="A1" s="848" t="str">
        <f>muni&amp; " - "&amp;S71L&amp; " - "&amp;Head57</f>
        <v>KZN282 uMhlathuze - Supporting Table SC6 Monthly Budget Statement - transfers and grant receipts  - M10 April</v>
      </c>
      <c r="B1" s="848"/>
      <c r="C1" s="848"/>
      <c r="D1" s="848"/>
      <c r="E1" s="848"/>
      <c r="F1" s="848"/>
      <c r="G1" s="848"/>
      <c r="H1" s="848"/>
      <c r="I1" s="848"/>
      <c r="J1" s="848"/>
      <c r="K1" s="848"/>
    </row>
    <row r="2" spans="1:11" x14ac:dyDescent="0.25">
      <c r="A2" s="837" t="str">
        <f>desc</f>
        <v>Description</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00"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519" t="s">
        <v>615</v>
      </c>
      <c r="B4" s="141"/>
      <c r="C4" s="520"/>
      <c r="D4" s="521"/>
      <c r="E4" s="522"/>
      <c r="F4" s="523"/>
      <c r="G4" s="523"/>
      <c r="H4" s="523"/>
      <c r="I4" s="523"/>
      <c r="J4" s="524" t="s">
        <v>528</v>
      </c>
      <c r="K4" s="525"/>
    </row>
    <row r="5" spans="1:11" ht="12.75" customHeight="1" x14ac:dyDescent="0.25">
      <c r="A5" s="29" t="s">
        <v>898</v>
      </c>
      <c r="B5" s="90" t="s">
        <v>882</v>
      </c>
      <c r="C5" s="370"/>
      <c r="D5" s="526"/>
      <c r="E5" s="527"/>
      <c r="F5" s="527"/>
      <c r="G5" s="527"/>
      <c r="H5" s="527"/>
      <c r="I5" s="527"/>
      <c r="J5" s="527"/>
      <c r="K5" s="528"/>
    </row>
    <row r="6" spans="1:11" ht="5.0999999999999996" customHeight="1" x14ac:dyDescent="0.25">
      <c r="A6" s="29"/>
      <c r="B6" s="90"/>
      <c r="C6" s="370"/>
      <c r="D6" s="526"/>
      <c r="E6" s="527"/>
      <c r="F6" s="527"/>
      <c r="G6" s="527"/>
      <c r="H6" s="527"/>
      <c r="I6" s="527"/>
      <c r="J6" s="527"/>
      <c r="K6" s="528"/>
    </row>
    <row r="7" spans="1:11" ht="12.75" customHeight="1" x14ac:dyDescent="0.25">
      <c r="A7" s="29" t="s">
        <v>46</v>
      </c>
      <c r="B7" s="90"/>
      <c r="C7" s="370"/>
      <c r="D7" s="526"/>
      <c r="E7" s="527"/>
      <c r="F7" s="527"/>
      <c r="G7" s="527"/>
      <c r="H7" s="527"/>
      <c r="I7" s="527"/>
      <c r="J7" s="527"/>
      <c r="K7" s="528"/>
    </row>
    <row r="8" spans="1:11" ht="15.75" customHeight="1" x14ac:dyDescent="0.25">
      <c r="A8" s="66" t="s">
        <v>571</v>
      </c>
      <c r="B8" s="90"/>
      <c r="C8" s="69">
        <f t="shared" ref="C8:H8" si="0">SUM(C9:C15)</f>
        <v>527083554.37</v>
      </c>
      <c r="D8" s="39">
        <f t="shared" si="0"/>
        <v>569770000</v>
      </c>
      <c r="E8" s="38">
        <f t="shared" si="0"/>
        <v>569770000</v>
      </c>
      <c r="F8" s="149">
        <f t="shared" si="0"/>
        <v>0</v>
      </c>
      <c r="G8" s="38">
        <f t="shared" si="0"/>
        <v>561188000</v>
      </c>
      <c r="H8" s="149">
        <f t="shared" si="0"/>
        <v>577745518.21000016</v>
      </c>
      <c r="I8" s="148">
        <f>G8-H8</f>
        <v>-16557518.210000157</v>
      </c>
      <c r="J8" s="148">
        <f t="shared" ref="J8:J37" si="1">IF(I8=0,"",I8/H8)</f>
        <v>-2.8658843189817349E-2</v>
      </c>
      <c r="K8" s="96">
        <f>SUM(K9:K15)</f>
        <v>569770000</v>
      </c>
    </row>
    <row r="9" spans="1:11" ht="12.75" customHeight="1" x14ac:dyDescent="0.25">
      <c r="A9" s="530" t="s">
        <v>911</v>
      </c>
      <c r="B9" s="90"/>
      <c r="C9" s="379">
        <v>520860000</v>
      </c>
      <c r="D9" s="366">
        <f>-SC6Q!F5</f>
        <v>556251000</v>
      </c>
      <c r="E9" s="331">
        <f>-SC6Q!H5</f>
        <v>556251000</v>
      </c>
      <c r="F9" s="331">
        <f>-SC6Q!J5</f>
        <v>0</v>
      </c>
      <c r="G9" s="331">
        <f>-SC6Q!M5</f>
        <v>556251000</v>
      </c>
      <c r="H9" s="415">
        <f>-SC6Q!P5</f>
        <v>572938300</v>
      </c>
      <c r="I9" s="148">
        <f t="shared" ref="I9:I15" si="2">G9-H9</f>
        <v>-16687300</v>
      </c>
      <c r="J9" s="148">
        <f t="shared" si="1"/>
        <v>-2.9125823845255239E-2</v>
      </c>
      <c r="K9" s="332">
        <f>-SC6Q!R5</f>
        <v>556251000</v>
      </c>
    </row>
    <row r="10" spans="1:11" ht="12.75" customHeight="1" x14ac:dyDescent="0.25">
      <c r="A10" s="530" t="s">
        <v>1896</v>
      </c>
      <c r="B10" s="90"/>
      <c r="C10" s="379">
        <v>2500000</v>
      </c>
      <c r="D10" s="366">
        <f>-SC6Q!F6</f>
        <v>2500000</v>
      </c>
      <c r="E10" s="331">
        <f>-SC6Q!H6</f>
        <v>2500000</v>
      </c>
      <c r="F10" s="331">
        <f>-SC6Q!J6</f>
        <v>0</v>
      </c>
      <c r="G10" s="331">
        <f>-SC6Q!M6</f>
        <v>2500000</v>
      </c>
      <c r="H10" s="415">
        <f>-SC6Q!P6</f>
        <v>623407.43999999994</v>
      </c>
      <c r="I10" s="148">
        <f t="shared" si="2"/>
        <v>1876592.56</v>
      </c>
      <c r="J10" s="148">
        <f t="shared" si="1"/>
        <v>3.0102184215189993</v>
      </c>
      <c r="K10" s="332">
        <f>-SC6Q!R6</f>
        <v>2500000</v>
      </c>
    </row>
    <row r="11" spans="1:11" ht="12.75" customHeight="1" x14ac:dyDescent="0.25">
      <c r="A11" s="530" t="s">
        <v>920</v>
      </c>
      <c r="B11" s="90"/>
      <c r="C11" s="379">
        <v>2916000</v>
      </c>
      <c r="D11" s="366">
        <f>-SC6Q!F7</f>
        <v>2674000</v>
      </c>
      <c r="E11" s="331">
        <f>-SC6Q!H7</f>
        <v>2674000</v>
      </c>
      <c r="F11" s="331">
        <f>-SC6Q!J7</f>
        <v>0</v>
      </c>
      <c r="G11" s="331">
        <f>-SC6Q!M7</f>
        <v>2437000</v>
      </c>
      <c r="H11" s="415">
        <f>-SC6Q!P7</f>
        <v>1711685.7</v>
      </c>
      <c r="I11" s="148">
        <f t="shared" si="2"/>
        <v>725314.3</v>
      </c>
      <c r="J11" s="148">
        <f t="shared" si="1"/>
        <v>0.42374268827507294</v>
      </c>
      <c r="K11" s="332">
        <f>-SC6Q!R7</f>
        <v>2674000</v>
      </c>
    </row>
    <row r="12" spans="1:11" ht="12.75" customHeight="1" x14ac:dyDescent="0.25">
      <c r="A12" s="530" t="s">
        <v>1081</v>
      </c>
      <c r="B12" s="90"/>
      <c r="C12" s="379">
        <v>326400</v>
      </c>
      <c r="D12" s="366">
        <f>-SC6Q!F8</f>
        <v>7575000</v>
      </c>
      <c r="E12" s="331">
        <f>-SC6Q!H8</f>
        <v>7575000</v>
      </c>
      <c r="F12" s="331">
        <f>-SC6Q!J8</f>
        <v>0</v>
      </c>
      <c r="G12" s="331">
        <f>-SC6Q!M8</f>
        <v>0</v>
      </c>
      <c r="H12" s="415">
        <f>-SC6Q!P8</f>
        <v>2272500</v>
      </c>
      <c r="I12" s="148">
        <f t="shared" si="2"/>
        <v>-2272500</v>
      </c>
      <c r="J12" s="148">
        <f t="shared" si="1"/>
        <v>-1</v>
      </c>
      <c r="K12" s="332">
        <f>-SC6Q!R8</f>
        <v>7575000</v>
      </c>
    </row>
    <row r="13" spans="1:11" ht="12.75" customHeight="1" x14ac:dyDescent="0.25">
      <c r="A13" s="530" t="s">
        <v>1897</v>
      </c>
      <c r="B13" s="90"/>
      <c r="C13" s="379">
        <v>481154.37</v>
      </c>
      <c r="D13" s="366">
        <f>-SC6Q!F9</f>
        <v>770000</v>
      </c>
      <c r="E13" s="331">
        <f>-SC6Q!H9</f>
        <v>770000</v>
      </c>
      <c r="F13" s="331">
        <f>-SC6Q!J9</f>
        <v>0</v>
      </c>
      <c r="G13" s="331">
        <f>-SC6Q!M9</f>
        <v>0</v>
      </c>
      <c r="H13" s="415">
        <f>-SC6Q!P9</f>
        <v>199625.07</v>
      </c>
      <c r="I13" s="148">
        <f t="shared" si="2"/>
        <v>-199625.07</v>
      </c>
      <c r="J13" s="148">
        <f t="shared" si="1"/>
        <v>-1</v>
      </c>
      <c r="K13" s="332">
        <f>-SC6Q!R9</f>
        <v>770000</v>
      </c>
    </row>
    <row r="14" spans="1:11" ht="12.75" customHeight="1" x14ac:dyDescent="0.25">
      <c r="A14" s="530" t="s">
        <v>1902</v>
      </c>
      <c r="B14" s="90">
        <v>3</v>
      </c>
      <c r="C14" s="379"/>
      <c r="D14" s="366"/>
      <c r="E14" s="331"/>
      <c r="F14" s="415"/>
      <c r="G14" s="331"/>
      <c r="H14" s="415"/>
      <c r="I14" s="148">
        <f t="shared" si="2"/>
        <v>0</v>
      </c>
      <c r="J14" s="148" t="str">
        <f t="shared" si="1"/>
        <v/>
      </c>
      <c r="K14" s="332"/>
    </row>
    <row r="15" spans="1:11" ht="12.75" customHeight="1" x14ac:dyDescent="0.25">
      <c r="A15" s="530" t="s">
        <v>490</v>
      </c>
      <c r="B15" s="90"/>
      <c r="C15" s="379"/>
      <c r="D15" s="366"/>
      <c r="E15" s="331"/>
      <c r="F15" s="331"/>
      <c r="G15" s="331"/>
      <c r="H15" s="331"/>
      <c r="I15" s="38">
        <f t="shared" si="2"/>
        <v>0</v>
      </c>
      <c r="J15" s="148" t="str">
        <f t="shared" si="1"/>
        <v/>
      </c>
      <c r="K15" s="367"/>
    </row>
    <row r="16" spans="1:11" ht="12.75" customHeight="1" x14ac:dyDescent="0.25">
      <c r="A16" s="66" t="s">
        <v>572</v>
      </c>
      <c r="B16" s="90"/>
      <c r="C16" s="69">
        <f t="shared" ref="C16:H16" si="3">SUM(C17:C30)</f>
        <v>15896654</v>
      </c>
      <c r="D16" s="39">
        <f t="shared" si="3"/>
        <v>17575000</v>
      </c>
      <c r="E16" s="38">
        <f t="shared" si="3"/>
        <v>19175000</v>
      </c>
      <c r="F16" s="38">
        <f t="shared" si="3"/>
        <v>14308.17</v>
      </c>
      <c r="G16" s="38">
        <f t="shared" si="3"/>
        <v>12958675.27</v>
      </c>
      <c r="H16" s="38">
        <f t="shared" si="3"/>
        <v>14424813.07</v>
      </c>
      <c r="I16" s="148">
        <f>G16-H16</f>
        <v>-1466137.8000000007</v>
      </c>
      <c r="J16" s="529">
        <f t="shared" si="1"/>
        <v>-0.10163998610485984</v>
      </c>
      <c r="K16" s="96">
        <f>SUM(K17:K30)</f>
        <v>19175000</v>
      </c>
    </row>
    <row r="17" spans="1:11" ht="12.75" customHeight="1" x14ac:dyDescent="0.25">
      <c r="A17" s="530" t="s">
        <v>1178</v>
      </c>
      <c r="B17" s="90"/>
      <c r="C17" s="379">
        <v>249000</v>
      </c>
      <c r="D17" s="415">
        <f>-SC6Q!F12</f>
        <v>260000</v>
      </c>
      <c r="E17" s="415">
        <f>-SC6Q!H12</f>
        <v>260000</v>
      </c>
      <c r="F17" s="415">
        <f>-SC6Q!J12</f>
        <v>0</v>
      </c>
      <c r="G17" s="415">
        <f>-SC6Q!M12</f>
        <v>0</v>
      </c>
      <c r="H17" s="415">
        <f>-SC6Q!P12</f>
        <v>0</v>
      </c>
      <c r="I17" s="148">
        <f t="shared" ref="I17:I30" si="4">G17-H17</f>
        <v>0</v>
      </c>
      <c r="J17" s="148" t="str">
        <f t="shared" si="1"/>
        <v/>
      </c>
      <c r="K17" s="332">
        <f>-SC6Q!R12</f>
        <v>260000</v>
      </c>
    </row>
    <row r="18" spans="1:11" ht="12.75" customHeight="1" x14ac:dyDescent="0.25">
      <c r="A18" s="530" t="s">
        <v>1898</v>
      </c>
      <c r="B18" s="90"/>
      <c r="C18" s="379">
        <v>9593000</v>
      </c>
      <c r="D18" s="415">
        <f>-SC6Q!F13</f>
        <v>10016000</v>
      </c>
      <c r="E18" s="415">
        <f>-SC6Q!H13</f>
        <v>10016000</v>
      </c>
      <c r="F18" s="415">
        <f>-SC6Q!J13</f>
        <v>0</v>
      </c>
      <c r="G18" s="415">
        <f>-SC6Q!M13</f>
        <v>10016000</v>
      </c>
      <c r="H18" s="415">
        <f>-SC6Q!P13</f>
        <v>10016000</v>
      </c>
      <c r="I18" s="148">
        <f t="shared" si="4"/>
        <v>0</v>
      </c>
      <c r="J18" s="148" t="str">
        <f t="shared" si="1"/>
        <v/>
      </c>
      <c r="K18" s="332">
        <f>-SC6Q!R13</f>
        <v>10016000</v>
      </c>
    </row>
    <row r="19" spans="1:11" ht="13.9" customHeight="1" x14ac:dyDescent="0.25">
      <c r="A19" s="530" t="s">
        <v>508</v>
      </c>
      <c r="B19" s="90"/>
      <c r="C19" s="379">
        <v>2032800</v>
      </c>
      <c r="D19" s="415">
        <f>-SC6Q!F14</f>
        <v>2124300</v>
      </c>
      <c r="E19" s="415">
        <f>-SC6Q!H14</f>
        <v>2124300</v>
      </c>
      <c r="F19" s="415">
        <f>-SC6Q!J14</f>
        <v>0</v>
      </c>
      <c r="G19" s="415">
        <f>-SC6Q!M14</f>
        <v>2124000</v>
      </c>
      <c r="H19" s="415">
        <f>-SC6Q!P14</f>
        <v>1178336.3</v>
      </c>
      <c r="I19" s="148">
        <f t="shared" si="4"/>
        <v>945663.7</v>
      </c>
      <c r="J19" s="148">
        <f t="shared" si="1"/>
        <v>0.80254143065948147</v>
      </c>
      <c r="K19" s="332">
        <f>-SC6Q!R14</f>
        <v>2124300</v>
      </c>
    </row>
    <row r="20" spans="1:11" ht="12.75" customHeight="1" x14ac:dyDescent="0.25">
      <c r="A20" s="530" t="s">
        <v>659</v>
      </c>
      <c r="B20" s="90"/>
      <c r="C20" s="379">
        <v>4788080</v>
      </c>
      <c r="D20" s="415">
        <f>-SC6Q!F15</f>
        <v>4429000</v>
      </c>
      <c r="E20" s="415">
        <f>-SC6Q!H15</f>
        <v>5429000</v>
      </c>
      <c r="F20" s="415">
        <f>-SC6Q!J15</f>
        <v>14308.17</v>
      </c>
      <c r="G20" s="415">
        <f>-SC6Q!M15</f>
        <v>72675.27</v>
      </c>
      <c r="H20" s="415">
        <f>-SC6Q!P15</f>
        <v>2422696.4900000002</v>
      </c>
      <c r="I20" s="148">
        <f t="shared" si="4"/>
        <v>-2350021.2200000002</v>
      </c>
      <c r="J20" s="148">
        <f t="shared" si="1"/>
        <v>-0.97000232166927358</v>
      </c>
      <c r="K20" s="332">
        <f>-SC6Q!R15</f>
        <v>5429000</v>
      </c>
    </row>
    <row r="21" spans="1:11" ht="12.75" customHeight="1" x14ac:dyDescent="0.25">
      <c r="A21" s="530" t="s">
        <v>1899</v>
      </c>
      <c r="B21" s="90"/>
      <c r="C21" s="379">
        <v>714200</v>
      </c>
      <c r="D21" s="415">
        <f>-SC6Q!F16</f>
        <v>745700</v>
      </c>
      <c r="E21" s="415">
        <f>-SC6Q!H16</f>
        <v>745700</v>
      </c>
      <c r="F21" s="415">
        <f>-SC6Q!J16</f>
        <v>0</v>
      </c>
      <c r="G21" s="415">
        <f>-SC6Q!M16</f>
        <v>746000</v>
      </c>
      <c r="H21" s="415">
        <f>-SC6Q!P16</f>
        <v>207780.28</v>
      </c>
      <c r="I21" s="148">
        <f t="shared" si="4"/>
        <v>538219.72</v>
      </c>
      <c r="J21" s="148">
        <f t="shared" si="1"/>
        <v>2.5903310939806219</v>
      </c>
      <c r="K21" s="332">
        <f>-SC6Q!R16</f>
        <v>745700</v>
      </c>
    </row>
    <row r="22" spans="1:11" ht="12.75" customHeight="1" x14ac:dyDescent="0.25">
      <c r="A22" s="530" t="s">
        <v>1900</v>
      </c>
      <c r="B22" s="90"/>
      <c r="C22" s="379"/>
      <c r="D22" s="415">
        <f>-SC6Q!F18</f>
        <v>0</v>
      </c>
      <c r="E22" s="415">
        <f>-SC6Q!H18</f>
        <v>0</v>
      </c>
      <c r="F22" s="415">
        <f>-SC6Q!J18</f>
        <v>0</v>
      </c>
      <c r="G22" s="415">
        <f>-SC6Q!M18</f>
        <v>0</v>
      </c>
      <c r="H22" s="415">
        <f>-SC6Q!P18</f>
        <v>0</v>
      </c>
      <c r="I22" s="148">
        <f t="shared" si="4"/>
        <v>0</v>
      </c>
      <c r="J22" s="529" t="str">
        <f t="shared" si="1"/>
        <v/>
      </c>
      <c r="K22" s="332">
        <f>-SC6Q!R18</f>
        <v>0</v>
      </c>
    </row>
    <row r="23" spans="1:11" ht="12.75" customHeight="1" x14ac:dyDescent="0.25">
      <c r="A23" s="530" t="s">
        <v>1901</v>
      </c>
      <c r="B23" s="90"/>
      <c r="C23" s="379"/>
      <c r="D23" s="415">
        <f>-SC6Q!F19</f>
        <v>0</v>
      </c>
      <c r="E23" s="415">
        <f>-SC6Q!H19</f>
        <v>0</v>
      </c>
      <c r="F23" s="415">
        <f>-SC6Q!J19</f>
        <v>0</v>
      </c>
      <c r="G23" s="415">
        <f>-SC6Q!M19</f>
        <v>0</v>
      </c>
      <c r="H23" s="415">
        <f>-SC6Q!P19</f>
        <v>0</v>
      </c>
      <c r="I23" s="148">
        <f t="shared" si="4"/>
        <v>0</v>
      </c>
      <c r="J23" s="529" t="str">
        <f t="shared" si="1"/>
        <v/>
      </c>
      <c r="K23" s="332">
        <f>-SC6Q!R19</f>
        <v>0</v>
      </c>
    </row>
    <row r="24" spans="1:11" ht="12.75" customHeight="1" x14ac:dyDescent="0.25">
      <c r="A24" s="530" t="s">
        <v>1903</v>
      </c>
      <c r="B24" s="90"/>
      <c r="C24" s="379">
        <v>87488</v>
      </c>
      <c r="D24" s="415">
        <f>-SC6Q!F17</f>
        <v>0</v>
      </c>
      <c r="E24" s="415">
        <f>-SC6Q!H17</f>
        <v>0</v>
      </c>
      <c r="F24" s="415">
        <f>-SC6Q!J17</f>
        <v>0</v>
      </c>
      <c r="G24" s="415">
        <f>-SC6Q!M17</f>
        <v>0</v>
      </c>
      <c r="H24" s="415">
        <f>-SC6Q!P17</f>
        <v>0</v>
      </c>
      <c r="I24" s="148">
        <f t="shared" si="4"/>
        <v>0</v>
      </c>
      <c r="J24" s="529" t="str">
        <f t="shared" si="1"/>
        <v/>
      </c>
      <c r="K24" s="332">
        <f>-SC6Q!R17</f>
        <v>0</v>
      </c>
    </row>
    <row r="25" spans="1:11" ht="12.75" customHeight="1" x14ac:dyDescent="0.25">
      <c r="A25" s="530" t="s">
        <v>1904</v>
      </c>
      <c r="B25" s="90">
        <v>4</v>
      </c>
      <c r="C25" s="379">
        <v>-1567914</v>
      </c>
      <c r="D25" s="415">
        <f>-SC6Q!F20</f>
        <v>0</v>
      </c>
      <c r="E25" s="415">
        <f>-SC6Q!H20</f>
        <v>0</v>
      </c>
      <c r="F25" s="415">
        <f>-SC6Q!J20</f>
        <v>0</v>
      </c>
      <c r="G25" s="415">
        <f>-SC6Q!M20</f>
        <v>0</v>
      </c>
      <c r="H25" s="415">
        <f>-SC6Q!P20</f>
        <v>0</v>
      </c>
      <c r="I25" s="148">
        <f t="shared" si="4"/>
        <v>0</v>
      </c>
      <c r="J25" s="529" t="str">
        <f t="shared" si="1"/>
        <v/>
      </c>
      <c r="K25" s="332">
        <f>-SC6Q!R20</f>
        <v>0</v>
      </c>
    </row>
    <row r="26" spans="1:11" ht="12.75" customHeight="1" x14ac:dyDescent="0.25">
      <c r="A26" s="530" t="s">
        <v>1902</v>
      </c>
      <c r="B26" s="90"/>
      <c r="C26" s="379"/>
      <c r="D26" s="415"/>
      <c r="E26" s="415"/>
      <c r="F26" s="415"/>
      <c r="G26" s="415"/>
      <c r="H26" s="415"/>
      <c r="I26" s="148">
        <f t="shared" si="4"/>
        <v>0</v>
      </c>
      <c r="J26" s="529" t="str">
        <f t="shared" si="1"/>
        <v/>
      </c>
      <c r="K26" s="332"/>
    </row>
    <row r="27" spans="1:11" ht="12.75" customHeight="1" x14ac:dyDescent="0.25">
      <c r="A27" s="530" t="s">
        <v>1987</v>
      </c>
      <c r="B27" s="90"/>
      <c r="C27" s="379"/>
      <c r="D27" s="415">
        <f>-SC6Q!F21</f>
        <v>0</v>
      </c>
      <c r="E27" s="415">
        <f>-SC6Q!H21</f>
        <v>0</v>
      </c>
      <c r="F27" s="415">
        <f>-SC6Q!J21</f>
        <v>0</v>
      </c>
      <c r="G27" s="415">
        <f>-SC6Q!M21</f>
        <v>0</v>
      </c>
      <c r="H27" s="415">
        <f>-SC6Q!P21</f>
        <v>0</v>
      </c>
      <c r="I27" s="148">
        <f t="shared" si="4"/>
        <v>0</v>
      </c>
      <c r="J27" s="529" t="str">
        <f t="shared" si="1"/>
        <v/>
      </c>
      <c r="K27" s="332">
        <f>-SC6Q!R21</f>
        <v>0</v>
      </c>
    </row>
    <row r="28" spans="1:11" ht="12.75" customHeight="1" x14ac:dyDescent="0.25">
      <c r="A28" s="530" t="s">
        <v>1988</v>
      </c>
      <c r="B28" s="90"/>
      <c r="C28" s="379"/>
      <c r="D28" s="415">
        <f>-SC6Q!F22</f>
        <v>0</v>
      </c>
      <c r="E28" s="415">
        <f>-SC6Q!H22</f>
        <v>0</v>
      </c>
      <c r="F28" s="415">
        <f>-SC6Q!J22</f>
        <v>0</v>
      </c>
      <c r="G28" s="415">
        <f>-SC6Q!M22</f>
        <v>0</v>
      </c>
      <c r="H28" s="415">
        <f>-SC6Q!P22</f>
        <v>0</v>
      </c>
      <c r="I28" s="148">
        <f t="shared" si="4"/>
        <v>0</v>
      </c>
      <c r="J28" s="529" t="str">
        <f t="shared" si="1"/>
        <v/>
      </c>
      <c r="K28" s="332">
        <f>-SC6Q!R22</f>
        <v>0</v>
      </c>
    </row>
    <row r="29" spans="1:11" ht="12.75" customHeight="1" x14ac:dyDescent="0.25">
      <c r="A29" s="530" t="s">
        <v>2090</v>
      </c>
      <c r="B29" s="90"/>
      <c r="C29" s="379"/>
      <c r="D29" s="415">
        <f>-SC6Q!F23</f>
        <v>0</v>
      </c>
      <c r="E29" s="415">
        <f>-SC6Q!H23</f>
        <v>600000</v>
      </c>
      <c r="F29" s="415">
        <f>-SC6Q!J23</f>
        <v>0</v>
      </c>
      <c r="G29" s="415">
        <f>-SC6Q!M23</f>
        <v>0</v>
      </c>
      <c r="H29" s="415">
        <f>-SC6Q!P23</f>
        <v>600000</v>
      </c>
      <c r="I29" s="148">
        <f t="shared" si="4"/>
        <v>-600000</v>
      </c>
      <c r="J29" s="529">
        <f t="shared" si="1"/>
        <v>-1</v>
      </c>
      <c r="K29" s="332">
        <f>-SC6Q!R23</f>
        <v>600000</v>
      </c>
    </row>
    <row r="30" spans="1:11" ht="12.75" customHeight="1" x14ac:dyDescent="0.25">
      <c r="A30" s="530" t="s">
        <v>490</v>
      </c>
      <c r="B30" s="90"/>
      <c r="C30" s="379"/>
      <c r="D30" s="415">
        <f>-SC6Q!F24</f>
        <v>0</v>
      </c>
      <c r="E30" s="415">
        <f>-SC6Q!H24</f>
        <v>0</v>
      </c>
      <c r="F30" s="415">
        <f>-SC6Q!J24</f>
        <v>0</v>
      </c>
      <c r="G30" s="415">
        <f>-SC6Q!M24</f>
        <v>0</v>
      </c>
      <c r="H30" s="415">
        <f>-SC6Q!P24</f>
        <v>0</v>
      </c>
      <c r="I30" s="148">
        <f t="shared" si="4"/>
        <v>0</v>
      </c>
      <c r="J30" s="529" t="str">
        <f t="shared" si="1"/>
        <v/>
      </c>
      <c r="K30" s="332">
        <f>-SC6Q!R24</f>
        <v>0</v>
      </c>
    </row>
    <row r="31" spans="1:11" ht="12.75" customHeight="1" x14ac:dyDescent="0.25">
      <c r="A31" s="66" t="s">
        <v>473</v>
      </c>
      <c r="B31" s="90"/>
      <c r="C31" s="69">
        <f t="shared" ref="C31:H31" si="5">SUM(C32:C32)</f>
        <v>0</v>
      </c>
      <c r="D31" s="39">
        <f t="shared" si="5"/>
        <v>0</v>
      </c>
      <c r="E31" s="38">
        <f t="shared" si="5"/>
        <v>0</v>
      </c>
      <c r="F31" s="38">
        <f t="shared" si="5"/>
        <v>0</v>
      </c>
      <c r="G31" s="38">
        <f t="shared" si="5"/>
        <v>0</v>
      </c>
      <c r="H31" s="38">
        <f t="shared" si="5"/>
        <v>0</v>
      </c>
      <c r="I31" s="148">
        <f t="shared" ref="I31:I33" si="6">G31-H31</f>
        <v>0</v>
      </c>
      <c r="J31" s="529" t="str">
        <f t="shared" si="1"/>
        <v/>
      </c>
      <c r="K31" s="96">
        <f>SUM(K32:K32)</f>
        <v>0</v>
      </c>
    </row>
    <row r="32" spans="1:11" ht="12.75" customHeight="1" x14ac:dyDescent="0.25">
      <c r="A32" s="535" t="s">
        <v>521</v>
      </c>
      <c r="B32" s="90"/>
      <c r="C32" s="764"/>
      <c r="D32" s="539"/>
      <c r="E32" s="540"/>
      <c r="F32" s="540"/>
      <c r="G32" s="540"/>
      <c r="H32" s="540"/>
      <c r="I32" s="148">
        <f t="shared" si="6"/>
        <v>0</v>
      </c>
      <c r="J32" s="148" t="str">
        <f t="shared" si="1"/>
        <v/>
      </c>
      <c r="K32" s="773"/>
    </row>
    <row r="33" spans="1:12" ht="12.75" customHeight="1" x14ac:dyDescent="0.25">
      <c r="A33" s="66" t="s">
        <v>761</v>
      </c>
      <c r="B33" s="90"/>
      <c r="C33" s="69">
        <f>SUM(C34:C36)</f>
        <v>762714</v>
      </c>
      <c r="D33" s="492">
        <f t="shared" ref="D33:E33" si="7">SUM(D34:D36)</f>
        <v>0</v>
      </c>
      <c r="E33" s="70">
        <f t="shared" si="7"/>
        <v>3752200</v>
      </c>
      <c r="F33" s="38">
        <f>SUM(F34:F36)</f>
        <v>254172.3</v>
      </c>
      <c r="G33" s="38">
        <f>SUM(G34:G36)</f>
        <v>2268046.69</v>
      </c>
      <c r="H33" s="38">
        <f>SUM(H34:H36)</f>
        <v>2747571.2</v>
      </c>
      <c r="I33" s="148">
        <f t="shared" si="6"/>
        <v>-479524.51000000024</v>
      </c>
      <c r="J33" s="148">
        <f t="shared" si="1"/>
        <v>-0.17452669106445728</v>
      </c>
      <c r="K33" s="96">
        <f>SUM(K34:K36)</f>
        <v>3752200</v>
      </c>
    </row>
    <row r="34" spans="1:12" ht="12.75" customHeight="1" x14ac:dyDescent="0.25">
      <c r="A34" s="535" t="s">
        <v>1939</v>
      </c>
      <c r="B34" s="90"/>
      <c r="C34" s="379"/>
      <c r="D34" s="776"/>
      <c r="E34" s="778"/>
      <c r="F34" s="331"/>
      <c r="G34" s="331"/>
      <c r="H34" s="331"/>
      <c r="I34" s="148"/>
      <c r="J34" s="148"/>
      <c r="K34" s="773"/>
    </row>
    <row r="35" spans="1:12" ht="12.75" customHeight="1" x14ac:dyDescent="0.25">
      <c r="A35" s="535" t="s">
        <v>1945</v>
      </c>
      <c r="B35" s="90"/>
      <c r="C35" s="704">
        <v>735314</v>
      </c>
      <c r="D35" s="539">
        <f>-SC6Q!F26</f>
        <v>0</v>
      </c>
      <c r="E35" s="540">
        <f>-SC6Q!H26</f>
        <v>3752200</v>
      </c>
      <c r="F35" s="331">
        <f>-SC6Q!J26</f>
        <v>254172.3</v>
      </c>
      <c r="G35" s="415">
        <f>-SC6Q!M26</f>
        <v>2268046.69</v>
      </c>
      <c r="H35" s="331">
        <f>-SC6Q!P26</f>
        <v>2747571.2</v>
      </c>
      <c r="I35" s="148"/>
      <c r="J35" s="34"/>
      <c r="K35" s="415">
        <f>-SC6Q!R26</f>
        <v>3752200</v>
      </c>
      <c r="L35" s="32"/>
    </row>
    <row r="36" spans="1:12" ht="12.75" customHeight="1" x14ac:dyDescent="0.25">
      <c r="A36" s="535" t="s">
        <v>1989</v>
      </c>
      <c r="B36" s="90"/>
      <c r="C36" s="704">
        <v>27400</v>
      </c>
      <c r="D36" s="539"/>
      <c r="E36" s="540"/>
      <c r="F36" s="540"/>
      <c r="G36" s="540"/>
      <c r="H36" s="540"/>
      <c r="I36" s="148"/>
      <c r="J36" s="34"/>
      <c r="K36" s="765"/>
      <c r="L36" s="32"/>
    </row>
    <row r="37" spans="1:12" ht="12.75" customHeight="1" x14ac:dyDescent="0.25">
      <c r="A37" s="774" t="s">
        <v>47</v>
      </c>
      <c r="B37" s="90">
        <v>5</v>
      </c>
      <c r="C37" s="69">
        <f t="shared" ref="C37:I37" si="8">C8+C16+C31+C33</f>
        <v>543742922.37</v>
      </c>
      <c r="D37" s="39">
        <f t="shared" si="8"/>
        <v>587345000</v>
      </c>
      <c r="E37" s="38">
        <f t="shared" si="8"/>
        <v>592697200</v>
      </c>
      <c r="F37" s="38">
        <f t="shared" si="8"/>
        <v>268480.46999999997</v>
      </c>
      <c r="G37" s="38">
        <f t="shared" si="8"/>
        <v>576414721.96000004</v>
      </c>
      <c r="H37" s="149">
        <f t="shared" si="8"/>
        <v>594917902.48000026</v>
      </c>
      <c r="I37" s="148">
        <f t="shared" si="8"/>
        <v>-18503180.52000016</v>
      </c>
      <c r="J37" s="34">
        <f t="shared" si="1"/>
        <v>-3.1102073820382624E-2</v>
      </c>
      <c r="K37" s="717">
        <f>K8+K16+K31+K33</f>
        <v>592697200</v>
      </c>
    </row>
    <row r="38" spans="1:12" ht="5.0999999999999996" customHeight="1" x14ac:dyDescent="0.25">
      <c r="A38" s="32"/>
      <c r="B38" s="90"/>
      <c r="C38" s="74"/>
      <c r="D38" s="36"/>
      <c r="E38" s="148"/>
      <c r="F38" s="34"/>
      <c r="G38" s="34"/>
      <c r="H38" s="34"/>
      <c r="I38" s="148"/>
      <c r="J38" s="148"/>
      <c r="K38" s="78"/>
    </row>
    <row r="39" spans="1:12" ht="12.75" customHeight="1" x14ac:dyDescent="0.25">
      <c r="A39" s="29" t="s">
        <v>48</v>
      </c>
      <c r="B39" s="90"/>
      <c r="C39" s="74"/>
      <c r="D39" s="36"/>
      <c r="E39" s="148"/>
      <c r="F39" s="148"/>
      <c r="G39" s="34"/>
      <c r="H39" s="148"/>
      <c r="I39" s="148"/>
      <c r="J39" s="148"/>
      <c r="K39" s="78"/>
    </row>
    <row r="40" spans="1:12" ht="18" customHeight="1" x14ac:dyDescent="0.25">
      <c r="A40" s="66" t="str">
        <f>A8</f>
        <v>National Government:</v>
      </c>
      <c r="B40" s="90"/>
      <c r="C40" s="69">
        <f t="shared" ref="C40:H40" si="9">SUM(C41:C46)</f>
        <v>241612445.63</v>
      </c>
      <c r="D40" s="149">
        <f t="shared" si="9"/>
        <v>218503000</v>
      </c>
      <c r="E40" s="149">
        <f t="shared" si="9"/>
        <v>226375600</v>
      </c>
      <c r="F40" s="38">
        <f t="shared" si="9"/>
        <v>0</v>
      </c>
      <c r="G40" s="149">
        <f t="shared" si="9"/>
        <v>204448000</v>
      </c>
      <c r="H40" s="38">
        <f t="shared" si="9"/>
        <v>173963692.48000002</v>
      </c>
      <c r="I40" s="148">
        <f>G40-H40</f>
        <v>30484307.519999981</v>
      </c>
      <c r="J40" s="148">
        <f t="shared" ref="J40:J61" si="10">IF(I40=0,"",I40/H40)</f>
        <v>0.17523373461105771</v>
      </c>
      <c r="K40" s="96">
        <f>SUM(K41:K46)</f>
        <v>226375600</v>
      </c>
    </row>
    <row r="41" spans="1:12" ht="12.75" customHeight="1" x14ac:dyDescent="0.25">
      <c r="A41" s="530" t="s">
        <v>1905</v>
      </c>
      <c r="B41" s="90"/>
      <c r="C41" s="379">
        <v>171252600</v>
      </c>
      <c r="D41" s="415">
        <f>-SC6Q!F31</f>
        <v>143923000</v>
      </c>
      <c r="E41" s="415">
        <f>-SC6Q!H31</f>
        <v>144863000</v>
      </c>
      <c r="F41" s="415">
        <f>-SC6Q!J31</f>
        <v>0</v>
      </c>
      <c r="G41" s="415">
        <f>-SC6Q!M31</f>
        <v>152438000</v>
      </c>
      <c r="H41" s="415">
        <f>-SC6Q!P31</f>
        <v>76304924.480000004</v>
      </c>
      <c r="I41" s="148"/>
      <c r="J41" s="148"/>
      <c r="K41" s="332">
        <f>-SC6Q!R31</f>
        <v>144863000</v>
      </c>
    </row>
    <row r="42" spans="1:12" ht="12.75" customHeight="1" x14ac:dyDescent="0.25">
      <c r="A42" s="530" t="s">
        <v>1906</v>
      </c>
      <c r="B42" s="90"/>
      <c r="C42" s="379">
        <v>52001000</v>
      </c>
      <c r="D42" s="415">
        <f>-SC6Q!F32</f>
        <v>60000000</v>
      </c>
      <c r="E42" s="415">
        <f>-SC6Q!H32</f>
        <v>60000000</v>
      </c>
      <c r="F42" s="415">
        <f>-SC6Q!J32</f>
        <v>0</v>
      </c>
      <c r="G42" s="415">
        <f>-SC6Q!M32</f>
        <v>38600000</v>
      </c>
      <c r="H42" s="415">
        <f>-SC6Q!P32</f>
        <v>87000000</v>
      </c>
      <c r="I42" s="148"/>
      <c r="J42" s="148"/>
      <c r="K42" s="332">
        <f>-SC6Q!R32</f>
        <v>60000000</v>
      </c>
    </row>
    <row r="43" spans="1:12" ht="12.75" customHeight="1" x14ac:dyDescent="0.25">
      <c r="A43" s="530" t="s">
        <v>915</v>
      </c>
      <c r="B43" s="90"/>
      <c r="C43" s="379">
        <v>4518845.63</v>
      </c>
      <c r="D43" s="415">
        <f>-SC6Q!F33</f>
        <v>4730000</v>
      </c>
      <c r="E43" s="415">
        <f>-SC6Q!H33</f>
        <v>4730000</v>
      </c>
      <c r="F43" s="415">
        <f>-SC6Q!J33</f>
        <v>0</v>
      </c>
      <c r="G43" s="415">
        <f>-SC6Q!M33</f>
        <v>5500000</v>
      </c>
      <c r="H43" s="415">
        <f>-SC6Q!P33</f>
        <v>260000</v>
      </c>
      <c r="I43" s="148"/>
      <c r="J43" s="148"/>
      <c r="K43" s="332">
        <f>-SC6Q!R33</f>
        <v>4730000</v>
      </c>
    </row>
    <row r="44" spans="1:12" ht="12.75" customHeight="1" x14ac:dyDescent="0.25">
      <c r="A44" s="530" t="s">
        <v>1907</v>
      </c>
      <c r="B44" s="90"/>
      <c r="C44" s="379">
        <v>13840000</v>
      </c>
      <c r="D44" s="415">
        <f>-SC6Q!F34</f>
        <v>9850000</v>
      </c>
      <c r="E44" s="415">
        <f>-SC6Q!H34</f>
        <v>9850000</v>
      </c>
      <c r="F44" s="415">
        <f>-SC6Q!J34</f>
        <v>0</v>
      </c>
      <c r="G44" s="415">
        <f>-SC6Q!M34</f>
        <v>7910000</v>
      </c>
      <c r="H44" s="415">
        <f>-SC6Q!P34</f>
        <v>0</v>
      </c>
      <c r="I44" s="148"/>
      <c r="J44" s="148"/>
      <c r="K44" s="332">
        <f>-SC6Q!R34</f>
        <v>9850000</v>
      </c>
    </row>
    <row r="45" spans="1:12" ht="12.75" customHeight="1" x14ac:dyDescent="0.25">
      <c r="A45" s="530" t="s">
        <v>491</v>
      </c>
      <c r="B45" s="90"/>
      <c r="C45" s="379"/>
      <c r="D45" s="415"/>
      <c r="E45" s="331"/>
      <c r="F45" s="331"/>
      <c r="G45" s="331"/>
      <c r="H45" s="331"/>
      <c r="I45" s="148"/>
      <c r="J45" s="148"/>
      <c r="K45" s="332"/>
    </row>
    <row r="46" spans="1:12" ht="12.75" customHeight="1" x14ac:dyDescent="0.25">
      <c r="A46" s="530" t="s">
        <v>1947</v>
      </c>
      <c r="B46" s="90"/>
      <c r="C46" s="379"/>
      <c r="D46" s="415">
        <f>-SC6Q!F35</f>
        <v>0</v>
      </c>
      <c r="E46" s="415">
        <f>-SC6Q!H35</f>
        <v>6932600</v>
      </c>
      <c r="F46" s="415">
        <f>-SC6Q!J35</f>
        <v>0</v>
      </c>
      <c r="G46" s="415">
        <f>-SC6Q!M35</f>
        <v>0</v>
      </c>
      <c r="H46" s="415">
        <f>-SC6Q!P35</f>
        <v>10398768</v>
      </c>
      <c r="I46" s="148"/>
      <c r="J46" s="148"/>
      <c r="K46" s="332">
        <f>-SC6Q!R35</f>
        <v>6932600</v>
      </c>
    </row>
    <row r="47" spans="1:12" ht="12.75" customHeight="1" x14ac:dyDescent="0.25">
      <c r="A47" s="542" t="str">
        <f>A16</f>
        <v>Provincial Government:</v>
      </c>
      <c r="B47" s="90"/>
      <c r="C47" s="149">
        <f t="shared" ref="C47:H47" si="11">SUM(C48:C52)</f>
        <v>0</v>
      </c>
      <c r="D47" s="149">
        <f t="shared" si="11"/>
        <v>500000</v>
      </c>
      <c r="E47" s="149">
        <f t="shared" si="11"/>
        <v>632500</v>
      </c>
      <c r="F47" s="38">
        <f t="shared" si="11"/>
        <v>-22750</v>
      </c>
      <c r="G47" s="38">
        <f t="shared" si="11"/>
        <v>477250</v>
      </c>
      <c r="H47" s="149">
        <f t="shared" si="11"/>
        <v>0</v>
      </c>
      <c r="I47" s="148">
        <f t="shared" ref="I47:I56" si="12">G47-H47</f>
        <v>477250</v>
      </c>
      <c r="J47" s="148" t="e">
        <f>IF(I47=0,"",I47/H47)</f>
        <v>#DIV/0!</v>
      </c>
      <c r="K47" s="96">
        <f>SUM(K48:K52)</f>
        <v>632500</v>
      </c>
    </row>
    <row r="48" spans="1:12" ht="12.75" customHeight="1" x14ac:dyDescent="0.25">
      <c r="A48" s="530" t="s">
        <v>717</v>
      </c>
      <c r="B48" s="90"/>
      <c r="C48" s="775"/>
      <c r="D48" s="765"/>
      <c r="E48" s="540"/>
      <c r="F48" s="765"/>
      <c r="G48" s="540"/>
      <c r="H48" s="765"/>
      <c r="I48" s="148"/>
      <c r="J48" s="148"/>
      <c r="K48" s="808"/>
    </row>
    <row r="49" spans="1:12" ht="12.75" customHeight="1" x14ac:dyDescent="0.25">
      <c r="A49" s="530" t="s">
        <v>1902</v>
      </c>
      <c r="B49" s="90"/>
      <c r="C49" s="775"/>
      <c r="D49" s="765"/>
      <c r="E49" s="540"/>
      <c r="F49" s="765"/>
      <c r="G49" s="540"/>
      <c r="H49" s="765"/>
      <c r="I49" s="148"/>
      <c r="J49" s="148"/>
      <c r="K49" s="808"/>
    </row>
    <row r="50" spans="1:12" ht="12.75" customHeight="1" x14ac:dyDescent="0.25">
      <c r="A50" s="530" t="s">
        <v>659</v>
      </c>
      <c r="B50" s="90"/>
      <c r="C50" s="775"/>
      <c r="D50" s="415">
        <f>-SC6Q!F42</f>
        <v>0</v>
      </c>
      <c r="E50" s="415">
        <f>-SC6Q!H42</f>
        <v>132500</v>
      </c>
      <c r="F50" s="415">
        <f>-SC6Q!J42</f>
        <v>101000</v>
      </c>
      <c r="G50" s="415">
        <f>-SC6Q!M42</f>
        <v>101000</v>
      </c>
      <c r="H50" s="415">
        <f>-SC6Q!P42</f>
        <v>0</v>
      </c>
      <c r="I50" s="148">
        <f t="shared" ref="I50" si="13">G50-H50</f>
        <v>101000</v>
      </c>
      <c r="J50" s="148" t="e">
        <f>IF(I50=0,"",I50/H50)</f>
        <v>#DIV/0!</v>
      </c>
      <c r="K50" s="332">
        <f>-SC6Q!R42</f>
        <v>132500</v>
      </c>
    </row>
    <row r="51" spans="1:12" ht="12.75" customHeight="1" x14ac:dyDescent="0.25">
      <c r="A51" s="530" t="s">
        <v>2091</v>
      </c>
      <c r="B51" s="90"/>
      <c r="C51" s="775"/>
      <c r="D51" s="765"/>
      <c r="E51" s="540"/>
      <c r="F51" s="765"/>
      <c r="G51" s="540"/>
      <c r="H51" s="765"/>
      <c r="I51" s="148"/>
      <c r="J51" s="148"/>
      <c r="K51" s="773"/>
    </row>
    <row r="52" spans="1:12" ht="12.75" customHeight="1" x14ac:dyDescent="0.25">
      <c r="A52" s="530" t="s">
        <v>1900</v>
      </c>
      <c r="B52" s="90"/>
      <c r="C52" s="775"/>
      <c r="D52" s="415">
        <f>-SC6Q!F41</f>
        <v>500000</v>
      </c>
      <c r="E52" s="415">
        <f>-SC6Q!H41</f>
        <v>500000</v>
      </c>
      <c r="F52" s="415">
        <f>-SC6Q!J41</f>
        <v>-123750</v>
      </c>
      <c r="G52" s="415">
        <f>-SC6Q!M41</f>
        <v>376250</v>
      </c>
      <c r="H52" s="415">
        <f>-SC6Q!P41</f>
        <v>0</v>
      </c>
      <c r="I52" s="148">
        <f t="shared" si="12"/>
        <v>376250</v>
      </c>
      <c r="J52" s="148" t="e">
        <f>IF(I52=0,"",I52/H52)</f>
        <v>#DIV/0!</v>
      </c>
      <c r="K52" s="332">
        <f>-SC6Q!R41</f>
        <v>500000</v>
      </c>
    </row>
    <row r="53" spans="1:12" ht="12.75" customHeight="1" x14ac:dyDescent="0.25">
      <c r="A53" s="66" t="str">
        <f>A31</f>
        <v>District Municipality:</v>
      </c>
      <c r="B53" s="90"/>
      <c r="C53" s="69">
        <f t="shared" ref="C53:H53" si="14">SUM(C54:C55)</f>
        <v>0</v>
      </c>
      <c r="D53" s="39">
        <f t="shared" si="14"/>
        <v>0</v>
      </c>
      <c r="E53" s="38">
        <f t="shared" si="14"/>
        <v>0</v>
      </c>
      <c r="F53" s="149">
        <f t="shared" si="14"/>
        <v>0</v>
      </c>
      <c r="G53" s="38">
        <f t="shared" si="14"/>
        <v>0</v>
      </c>
      <c r="H53" s="149">
        <f t="shared" si="14"/>
        <v>0</v>
      </c>
      <c r="I53" s="148">
        <f t="shared" si="12"/>
        <v>0</v>
      </c>
      <c r="J53" s="148" t="str">
        <f t="shared" si="10"/>
        <v/>
      </c>
      <c r="K53" s="96">
        <f>SUM(K54:K55)</f>
        <v>0</v>
      </c>
    </row>
    <row r="54" spans="1:12" ht="12.75" customHeight="1" x14ac:dyDescent="0.25">
      <c r="A54" s="535" t="s">
        <v>521</v>
      </c>
      <c r="B54" s="90"/>
      <c r="C54" s="764"/>
      <c r="D54" s="539"/>
      <c r="E54" s="540"/>
      <c r="F54" s="765"/>
      <c r="G54" s="540"/>
      <c r="H54" s="765"/>
      <c r="I54" s="148">
        <f t="shared" si="12"/>
        <v>0</v>
      </c>
      <c r="J54" s="148" t="str">
        <f t="shared" si="10"/>
        <v/>
      </c>
      <c r="K54" s="773"/>
    </row>
    <row r="55" spans="1:12" ht="12.75" customHeight="1" x14ac:dyDescent="0.25">
      <c r="A55" s="538"/>
      <c r="B55" s="90"/>
      <c r="C55" s="379"/>
      <c r="D55" s="366"/>
      <c r="E55" s="331"/>
      <c r="F55" s="415"/>
      <c r="G55" s="331"/>
      <c r="H55" s="415"/>
      <c r="I55" s="148">
        <f t="shared" si="12"/>
        <v>0</v>
      </c>
      <c r="J55" s="148" t="str">
        <f t="shared" si="10"/>
        <v/>
      </c>
      <c r="K55" s="332"/>
    </row>
    <row r="56" spans="1:12" ht="12.75" customHeight="1" x14ac:dyDescent="0.25">
      <c r="A56" s="66" t="str">
        <f>A33</f>
        <v>Other grant providers:</v>
      </c>
      <c r="B56" s="90"/>
      <c r="C56" s="69">
        <f>SUM(C57:C58)</f>
        <v>0</v>
      </c>
      <c r="D56" s="492">
        <f t="shared" ref="D56:H56" si="15">SUM(D57:D58)</f>
        <v>0</v>
      </c>
      <c r="E56" s="70">
        <f t="shared" si="15"/>
        <v>0</v>
      </c>
      <c r="F56" s="70">
        <f t="shared" si="15"/>
        <v>0</v>
      </c>
      <c r="G56" s="70">
        <f t="shared" si="15"/>
        <v>0</v>
      </c>
      <c r="H56" s="70">
        <f t="shared" si="15"/>
        <v>0</v>
      </c>
      <c r="I56" s="34">
        <f t="shared" si="12"/>
        <v>0</v>
      </c>
      <c r="J56" s="148" t="str">
        <f t="shared" si="10"/>
        <v/>
      </c>
      <c r="K56" s="96">
        <f>SUM(K57:K58)</f>
        <v>0</v>
      </c>
    </row>
    <row r="57" spans="1:12" ht="12.75" customHeight="1" x14ac:dyDescent="0.25">
      <c r="A57" s="535" t="s">
        <v>1946</v>
      </c>
      <c r="B57" s="90"/>
      <c r="C57" s="764"/>
      <c r="D57" s="539"/>
      <c r="E57" s="540"/>
      <c r="F57" s="331"/>
      <c r="G57" s="777"/>
      <c r="H57" s="777"/>
      <c r="I57" s="148"/>
      <c r="J57" s="148"/>
      <c r="K57" s="779"/>
      <c r="L57" s="32"/>
    </row>
    <row r="58" spans="1:12" ht="12.75" customHeight="1" x14ac:dyDescent="0.25">
      <c r="A58" s="535" t="s">
        <v>1989</v>
      </c>
      <c r="B58" s="90"/>
      <c r="C58" s="764"/>
      <c r="D58" s="539">
        <f>-SC6Q!F45</f>
        <v>0</v>
      </c>
      <c r="E58" s="540">
        <f>-SC6Q!H45</f>
        <v>0</v>
      </c>
      <c r="F58" s="739">
        <f>-SC6Q!J45</f>
        <v>0</v>
      </c>
      <c r="G58" s="798">
        <f>-SC6Q!M45</f>
        <v>0</v>
      </c>
      <c r="H58" s="540">
        <f>-SC6Q!P45</f>
        <v>0</v>
      </c>
      <c r="I58" s="148"/>
      <c r="J58" s="34"/>
      <c r="K58" s="765">
        <f>-SC6Q!R45</f>
        <v>0</v>
      </c>
      <c r="L58" s="32"/>
    </row>
    <row r="59" spans="1:12" ht="12.75" customHeight="1" x14ac:dyDescent="0.25">
      <c r="A59" s="31" t="s">
        <v>49</v>
      </c>
      <c r="B59" s="90">
        <v>5</v>
      </c>
      <c r="C59" s="69">
        <f t="shared" ref="C59:H59" si="16">C40+C47+C53+C56</f>
        <v>241612445.63</v>
      </c>
      <c r="D59" s="39">
        <f t="shared" si="16"/>
        <v>219003000</v>
      </c>
      <c r="E59" s="38">
        <f t="shared" si="16"/>
        <v>227008100</v>
      </c>
      <c r="F59" s="149">
        <f t="shared" si="16"/>
        <v>-22750</v>
      </c>
      <c r="G59" s="38">
        <f t="shared" si="16"/>
        <v>204925250</v>
      </c>
      <c r="H59" s="38">
        <f t="shared" si="16"/>
        <v>173963692.48000002</v>
      </c>
      <c r="I59" s="149"/>
      <c r="J59" s="572" t="str">
        <f t="shared" si="10"/>
        <v/>
      </c>
      <c r="K59" s="96">
        <f>K40+K47+K53+K56</f>
        <v>227008100</v>
      </c>
    </row>
    <row r="60" spans="1:12" ht="5.0999999999999996" customHeight="1" x14ac:dyDescent="0.25">
      <c r="A60" s="544"/>
      <c r="B60" s="141"/>
      <c r="C60" s="142"/>
      <c r="D60" s="219"/>
      <c r="E60" s="608"/>
      <c r="F60" s="65"/>
      <c r="G60" s="65"/>
      <c r="H60" s="65"/>
      <c r="I60" s="608"/>
      <c r="J60" s="545"/>
      <c r="K60" s="97"/>
    </row>
    <row r="61" spans="1:12" ht="12.75" customHeight="1" x14ac:dyDescent="0.25">
      <c r="A61" s="546" t="s">
        <v>50</v>
      </c>
      <c r="B61" s="130">
        <v>5</v>
      </c>
      <c r="C61" s="42">
        <f t="shared" ref="C61:I61" si="17">C37+C59</f>
        <v>785355368</v>
      </c>
      <c r="D61" s="42">
        <f t="shared" si="17"/>
        <v>806348000</v>
      </c>
      <c r="E61" s="374">
        <f t="shared" si="17"/>
        <v>819705300</v>
      </c>
      <c r="F61" s="41">
        <f t="shared" si="17"/>
        <v>245730.46999999997</v>
      </c>
      <c r="G61" s="41">
        <f t="shared" si="17"/>
        <v>781339971.96000004</v>
      </c>
      <c r="H61" s="41">
        <f t="shared" si="17"/>
        <v>768881594.96000028</v>
      </c>
      <c r="I61" s="374">
        <f t="shared" si="17"/>
        <v>-18503180.52000016</v>
      </c>
      <c r="J61" s="41">
        <f t="shared" si="10"/>
        <v>-2.4065058445003819E-2</v>
      </c>
      <c r="K61" s="373">
        <f>K37+K59</f>
        <v>819705300</v>
      </c>
      <c r="L61" s="32"/>
    </row>
    <row r="62" spans="1:12" ht="12.75" customHeight="1" x14ac:dyDescent="0.25">
      <c r="A62" s="64" t="str">
        <f>head27a</f>
        <v>References</v>
      </c>
      <c r="C62" s="316"/>
      <c r="D62" s="316"/>
      <c r="E62" s="316"/>
      <c r="F62" s="316"/>
      <c r="G62" s="316"/>
      <c r="H62" s="316"/>
      <c r="I62" s="316"/>
      <c r="J62" s="316"/>
      <c r="K62" s="316"/>
    </row>
    <row r="63" spans="1:12" ht="12.75" customHeight="1" x14ac:dyDescent="0.25">
      <c r="A63" s="73" t="s">
        <v>896</v>
      </c>
      <c r="C63" s="316"/>
      <c r="D63" s="316"/>
      <c r="E63" s="316"/>
      <c r="F63" s="316"/>
      <c r="G63" s="316"/>
      <c r="H63" s="316"/>
      <c r="I63" s="316"/>
      <c r="J63" s="316"/>
      <c r="K63" s="316"/>
    </row>
    <row r="64" spans="1:12" ht="12.75" customHeight="1" x14ac:dyDescent="0.25">
      <c r="A64" s="73" t="s">
        <v>850</v>
      </c>
      <c r="C64" s="316"/>
      <c r="D64" s="316"/>
      <c r="E64" s="316"/>
      <c r="F64" s="316"/>
      <c r="G64" s="316"/>
      <c r="H64" s="316"/>
      <c r="I64" s="316"/>
      <c r="J64" s="316"/>
      <c r="K64" s="316"/>
    </row>
    <row r="65" spans="1:11" ht="12.75" customHeight="1" x14ac:dyDescent="0.25">
      <c r="A65" s="73" t="s">
        <v>760</v>
      </c>
      <c r="C65" s="316"/>
      <c r="D65" s="316"/>
      <c r="E65" s="316"/>
      <c r="F65" s="316"/>
      <c r="G65" s="316"/>
      <c r="H65" s="316"/>
      <c r="I65" s="316"/>
      <c r="J65" s="316"/>
      <c r="K65" s="316"/>
    </row>
    <row r="66" spans="1:11" ht="12.75" customHeight="1" x14ac:dyDescent="0.25">
      <c r="A66" s="315" t="s">
        <v>472</v>
      </c>
      <c r="C66" s="316"/>
      <c r="D66" s="316"/>
      <c r="E66" s="316"/>
      <c r="F66" s="316"/>
      <c r="G66" s="316"/>
      <c r="H66" s="316"/>
      <c r="I66" s="316"/>
      <c r="J66" s="316"/>
      <c r="K66" s="316"/>
    </row>
    <row r="67" spans="1:11" ht="12.75" customHeight="1" x14ac:dyDescent="0.25">
      <c r="A67" s="27" t="s">
        <v>551</v>
      </c>
      <c r="B67" s="44"/>
      <c r="C67" s="58"/>
      <c r="D67" s="547"/>
      <c r="E67" s="58"/>
      <c r="F67" s="58"/>
      <c r="G67" s="58"/>
      <c r="H67" s="58"/>
      <c r="I67" s="58"/>
      <c r="J67" s="58"/>
      <c r="K67" s="58"/>
    </row>
    <row r="68" spans="1:11" ht="11.25" customHeight="1" x14ac:dyDescent="0.25">
      <c r="A68" s="548"/>
    </row>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3">
    <mergeCell ref="A2:A3"/>
    <mergeCell ref="B2:B3"/>
    <mergeCell ref="A1:K1"/>
  </mergeCells>
  <phoneticPr fontId="2" type="noConversion"/>
  <dataValidations disablePrompts="1" count="3">
    <dataValidation type="list" allowBlank="1" showInputMessage="1" showErrorMessage="1" sqref="A9:A14">
      <formula1>NatOpexGrantNames</formula1>
    </dataValidation>
    <dataValidation type="list" allowBlank="1" showInputMessage="1" showErrorMessage="1" sqref="A41:A44">
      <formula1>NatCapexGrantNames</formula1>
    </dataValidation>
    <dataValidation type="list" allowBlank="1" showInputMessage="1" showErrorMessage="1" sqref="A22:A29">
      <formula1>ProvOpexGrantNames</formula1>
    </dataValidation>
  </dataValidations>
  <printOptions horizontalCentered="1"/>
  <pageMargins left="0.35433070866141736" right="0.15748031496062992" top="0.78740157480314965" bottom="0.59055118110236227" header="0.51181102362204722" footer="0.39370078740157483"/>
  <pageSetup paperSize="8" orientation="portrait" r:id="rId1"/>
  <headerFooter alignWithMargins="0">
    <oddFooter>&amp;L&amp;F&amp;C&amp;A&amp;R&amp;D</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S47"/>
  <sheetViews>
    <sheetView workbookViewId="0">
      <selection activeCell="O34" sqref="O34"/>
    </sheetView>
  </sheetViews>
  <sheetFormatPr defaultRowHeight="12.75" x14ac:dyDescent="0.2"/>
  <cols>
    <col min="1" max="1" width="44.28515625" bestFit="1" customWidth="1"/>
    <col min="2" max="2" width="13.5703125" bestFit="1" customWidth="1"/>
    <col min="3" max="3" width="16.140625" bestFit="1" customWidth="1"/>
    <col min="4" max="5" width="15" bestFit="1" customWidth="1"/>
    <col min="6" max="6" width="13.7109375" bestFit="1" customWidth="1"/>
    <col min="7" max="7" width="16.28515625" bestFit="1" customWidth="1"/>
    <col min="8" max="8" width="13.42578125" bestFit="1" customWidth="1"/>
    <col min="9" max="9" width="16" bestFit="1" customWidth="1"/>
    <col min="10" max="10" width="10.7109375" bestFit="1" customWidth="1"/>
    <col min="11" max="11" width="12.7109375" bestFit="1" customWidth="1"/>
    <col min="12" max="12" width="13.85546875" bestFit="1" customWidth="1"/>
    <col min="13" max="14" width="12.7109375" bestFit="1" customWidth="1"/>
    <col min="15" max="15" width="14.7109375" bestFit="1" customWidth="1"/>
    <col min="16" max="16" width="16.5703125" bestFit="1" customWidth="1"/>
    <col min="17" max="17" width="19.28515625" bestFit="1" customWidth="1"/>
    <col min="18" max="18" width="10.7109375" bestFit="1" customWidth="1"/>
    <col min="19" max="19" width="13.42578125" bestFit="1" customWidth="1"/>
  </cols>
  <sheetData>
    <row r="1" spans="1:19" x14ac:dyDescent="0.2">
      <c r="A1" s="630" t="s">
        <v>2070</v>
      </c>
      <c r="B1" s="630" t="s">
        <v>2071</v>
      </c>
      <c r="C1" s="630" t="s">
        <v>2092</v>
      </c>
      <c r="D1" s="630" t="s">
        <v>2072</v>
      </c>
      <c r="E1" s="630" t="s">
        <v>2073</v>
      </c>
      <c r="F1" s="630" t="s">
        <v>2074</v>
      </c>
      <c r="G1" s="630" t="s">
        <v>2093</v>
      </c>
      <c r="H1" s="630" t="s">
        <v>2075</v>
      </c>
      <c r="I1" s="630" t="s">
        <v>2094</v>
      </c>
      <c r="J1" s="630" t="s">
        <v>2076</v>
      </c>
      <c r="K1" s="630" t="s">
        <v>2077</v>
      </c>
      <c r="L1" s="630" t="s">
        <v>2098</v>
      </c>
      <c r="M1" s="630" t="s">
        <v>2097</v>
      </c>
      <c r="N1" s="630" t="s">
        <v>2078</v>
      </c>
      <c r="O1" s="630" t="s">
        <v>2099</v>
      </c>
      <c r="P1" s="630" t="s">
        <v>2079</v>
      </c>
      <c r="Q1" s="630" t="s">
        <v>2095</v>
      </c>
      <c r="R1" s="630" t="s">
        <v>2080</v>
      </c>
      <c r="S1" s="630" t="s">
        <v>2096</v>
      </c>
    </row>
    <row r="2" spans="1:19" x14ac:dyDescent="0.2">
      <c r="A2" s="630" t="s">
        <v>1918</v>
      </c>
    </row>
    <row r="3" spans="1:19" x14ac:dyDescent="0.2">
      <c r="A3" s="630" t="s">
        <v>46</v>
      </c>
    </row>
    <row r="4" spans="1:19" x14ac:dyDescent="0.2">
      <c r="A4" s="630" t="s">
        <v>571</v>
      </c>
      <c r="B4">
        <v>-531506365.44</v>
      </c>
      <c r="C4">
        <v>5416000</v>
      </c>
      <c r="D4">
        <v>-532313919.81</v>
      </c>
      <c r="E4">
        <v>524750000</v>
      </c>
      <c r="F4">
        <v>-569770000</v>
      </c>
      <c r="G4">
        <v>569770000</v>
      </c>
      <c r="H4">
        <v>-569770000</v>
      </c>
      <c r="I4">
        <v>569770000</v>
      </c>
      <c r="K4">
        <v>-527822.81999999995</v>
      </c>
      <c r="L4">
        <v>4779515.9000000004</v>
      </c>
      <c r="M4">
        <v>-561188000</v>
      </c>
      <c r="N4">
        <v>-560367431.75999999</v>
      </c>
      <c r="O4">
        <v>51258119.049999997</v>
      </c>
      <c r="P4">
        <v>-577745518.21000004</v>
      </c>
      <c r="Q4">
        <v>4807218.21</v>
      </c>
      <c r="R4">
        <v>-569770000</v>
      </c>
      <c r="S4">
        <v>569770000</v>
      </c>
    </row>
    <row r="5" spans="1:19" x14ac:dyDescent="0.2">
      <c r="A5" s="630" t="s">
        <v>911</v>
      </c>
      <c r="D5">
        <v>-520860000</v>
      </c>
      <c r="E5">
        <v>520860000</v>
      </c>
      <c r="F5">
        <v>-556251000</v>
      </c>
      <c r="G5">
        <v>556251000</v>
      </c>
      <c r="H5">
        <v>-556251000</v>
      </c>
      <c r="I5">
        <v>556251000</v>
      </c>
      <c r="L5">
        <v>4496097.17</v>
      </c>
      <c r="M5">
        <v>-556251000</v>
      </c>
      <c r="N5">
        <v>-556251000</v>
      </c>
      <c r="O5">
        <v>47548737.759999998</v>
      </c>
      <c r="P5">
        <v>-572938300</v>
      </c>
      <c r="Q5">
        <v>0</v>
      </c>
      <c r="R5">
        <v>-556251000</v>
      </c>
      <c r="S5">
        <v>556251000</v>
      </c>
    </row>
    <row r="6" spans="1:19" x14ac:dyDescent="0.2">
      <c r="A6" s="630" t="s">
        <v>1896</v>
      </c>
      <c r="B6">
        <v>-2500000</v>
      </c>
      <c r="C6">
        <v>2500000</v>
      </c>
      <c r="D6">
        <v>-2500000</v>
      </c>
      <c r="E6">
        <v>2500000</v>
      </c>
      <c r="F6">
        <v>-2500000</v>
      </c>
      <c r="G6">
        <v>2500000</v>
      </c>
      <c r="H6">
        <v>-2500000</v>
      </c>
      <c r="I6">
        <v>2500000</v>
      </c>
      <c r="K6">
        <v>-174491.17</v>
      </c>
      <c r="L6">
        <v>174491.17</v>
      </c>
      <c r="M6">
        <v>-2500000</v>
      </c>
      <c r="N6">
        <v>-2038780.47</v>
      </c>
      <c r="O6">
        <v>2038780.47</v>
      </c>
      <c r="P6">
        <v>-623407.43999999994</v>
      </c>
      <c r="Q6">
        <v>623407.43999999994</v>
      </c>
      <c r="R6">
        <v>-2500000</v>
      </c>
      <c r="S6">
        <v>2500000</v>
      </c>
    </row>
    <row r="7" spans="1:19" x14ac:dyDescent="0.2">
      <c r="A7" s="630" t="s">
        <v>920</v>
      </c>
      <c r="B7">
        <v>-2916000</v>
      </c>
      <c r="C7">
        <v>2916000</v>
      </c>
      <c r="D7">
        <v>-2916000</v>
      </c>
      <c r="E7">
        <v>1390000</v>
      </c>
      <c r="F7">
        <v>-2674000</v>
      </c>
      <c r="G7">
        <v>2674000</v>
      </c>
      <c r="H7">
        <v>-2674000</v>
      </c>
      <c r="I7">
        <v>2674000</v>
      </c>
      <c r="K7">
        <v>-192669.6</v>
      </c>
      <c r="L7">
        <v>192669.6</v>
      </c>
      <c r="M7">
        <v>-2437000</v>
      </c>
      <c r="N7">
        <v>-1670600.82</v>
      </c>
      <c r="O7">
        <v>1670600.82</v>
      </c>
      <c r="P7">
        <v>-1711685.7</v>
      </c>
      <c r="Q7">
        <v>1711685.7</v>
      </c>
      <c r="R7">
        <v>-2674000</v>
      </c>
      <c r="S7">
        <v>2674000</v>
      </c>
    </row>
    <row r="8" spans="1:19" x14ac:dyDescent="0.2">
      <c r="A8" s="630" t="s">
        <v>1081</v>
      </c>
      <c r="D8">
        <v>-326400</v>
      </c>
      <c r="F8">
        <v>-7575000</v>
      </c>
      <c r="G8">
        <v>7575000</v>
      </c>
      <c r="H8">
        <v>-7575000</v>
      </c>
      <c r="I8">
        <v>7575000</v>
      </c>
      <c r="P8">
        <v>-2272500</v>
      </c>
      <c r="Q8">
        <v>2272500</v>
      </c>
      <c r="R8">
        <v>-7575000</v>
      </c>
      <c r="S8">
        <v>7575000</v>
      </c>
    </row>
    <row r="9" spans="1:19" x14ac:dyDescent="0.2">
      <c r="A9" s="630" t="s">
        <v>915</v>
      </c>
      <c r="D9">
        <v>-481154.37</v>
      </c>
      <c r="F9">
        <v>-770000</v>
      </c>
      <c r="G9">
        <v>770000</v>
      </c>
      <c r="H9">
        <v>-770000</v>
      </c>
      <c r="I9">
        <v>770000</v>
      </c>
      <c r="K9">
        <v>-160662.04999999999</v>
      </c>
      <c r="L9">
        <v>-83742.039999999994</v>
      </c>
      <c r="N9">
        <v>-407050.47</v>
      </c>
      <c r="O9">
        <v>0</v>
      </c>
      <c r="P9">
        <v>-199625.07</v>
      </c>
      <c r="Q9">
        <v>199625.07</v>
      </c>
      <c r="R9">
        <v>-770000</v>
      </c>
      <c r="S9">
        <v>770000</v>
      </c>
    </row>
    <row r="10" spans="1:19" x14ac:dyDescent="0.2">
      <c r="A10" s="630" t="s">
        <v>1947</v>
      </c>
      <c r="D10">
        <v>-5230365.4400000004</v>
      </c>
    </row>
    <row r="11" spans="1:19" x14ac:dyDescent="0.2">
      <c r="A11" s="630" t="s">
        <v>572</v>
      </c>
      <c r="B11">
        <v>-17469014.670000002</v>
      </c>
      <c r="C11">
        <v>2987904.45</v>
      </c>
      <c r="D11">
        <v>-17856376.710000001</v>
      </c>
      <c r="E11">
        <v>4480345.7</v>
      </c>
      <c r="F11">
        <v>-17575000</v>
      </c>
      <c r="G11">
        <v>17575000</v>
      </c>
      <c r="H11">
        <v>-19175000</v>
      </c>
      <c r="I11">
        <v>19175000</v>
      </c>
      <c r="J11">
        <v>-14308.17</v>
      </c>
      <c r="K11">
        <v>-184893.15</v>
      </c>
      <c r="L11">
        <v>184893.15</v>
      </c>
      <c r="M11">
        <v>-12958675.27</v>
      </c>
      <c r="N11">
        <v>-27743577.34</v>
      </c>
      <c r="O11">
        <v>14319544.34</v>
      </c>
      <c r="P11">
        <v>-14424813.07</v>
      </c>
      <c r="Q11">
        <v>14424813.07</v>
      </c>
      <c r="R11">
        <v>-19175000</v>
      </c>
      <c r="S11">
        <v>19175000</v>
      </c>
    </row>
    <row r="12" spans="1:19" x14ac:dyDescent="0.2">
      <c r="A12" s="630" t="s">
        <v>1178</v>
      </c>
      <c r="F12">
        <v>-260000</v>
      </c>
      <c r="G12">
        <v>260000</v>
      </c>
      <c r="H12">
        <v>-260000</v>
      </c>
      <c r="I12">
        <v>260000</v>
      </c>
      <c r="O12">
        <v>0</v>
      </c>
      <c r="R12">
        <v>-260000</v>
      </c>
      <c r="S12">
        <v>260000</v>
      </c>
    </row>
    <row r="13" spans="1:19" x14ac:dyDescent="0.2">
      <c r="A13" s="630" t="s">
        <v>1898</v>
      </c>
      <c r="D13">
        <v>-9593000</v>
      </c>
      <c r="F13">
        <v>-10016000</v>
      </c>
      <c r="G13">
        <v>10016000</v>
      </c>
      <c r="H13">
        <v>-10016000</v>
      </c>
      <c r="I13">
        <v>10016000</v>
      </c>
      <c r="M13">
        <v>-10016000</v>
      </c>
      <c r="N13">
        <v>-10016000</v>
      </c>
      <c r="P13">
        <v>-10016000</v>
      </c>
      <c r="Q13">
        <v>10016000</v>
      </c>
      <c r="R13">
        <v>-10016000</v>
      </c>
      <c r="S13">
        <v>10016000</v>
      </c>
    </row>
    <row r="14" spans="1:19" x14ac:dyDescent="0.2">
      <c r="A14" s="630" t="s">
        <v>508</v>
      </c>
      <c r="B14">
        <v>-2032800</v>
      </c>
      <c r="C14">
        <v>2032800</v>
      </c>
      <c r="D14">
        <v>-2032800</v>
      </c>
      <c r="F14">
        <v>-2124300</v>
      </c>
      <c r="G14">
        <v>2124300</v>
      </c>
      <c r="H14">
        <v>-2124300</v>
      </c>
      <c r="I14">
        <v>2124300</v>
      </c>
      <c r="K14">
        <v>-157930.34</v>
      </c>
      <c r="L14">
        <v>157930.34</v>
      </c>
      <c r="M14">
        <v>-2124000</v>
      </c>
      <c r="N14">
        <v>-1656407.81</v>
      </c>
      <c r="O14">
        <v>1656407.81</v>
      </c>
      <c r="P14">
        <v>-1178336.3</v>
      </c>
      <c r="Q14">
        <v>1178336.3</v>
      </c>
      <c r="R14">
        <v>-2124300</v>
      </c>
      <c r="S14">
        <v>2124300</v>
      </c>
    </row>
    <row r="15" spans="1:19" x14ac:dyDescent="0.2">
      <c r="A15" s="630" t="s">
        <v>659</v>
      </c>
      <c r="D15">
        <v>-4855014.67</v>
      </c>
      <c r="E15">
        <v>4231345.7</v>
      </c>
      <c r="F15">
        <v>-4429000</v>
      </c>
      <c r="G15">
        <v>4429000</v>
      </c>
      <c r="H15">
        <v>-5429000</v>
      </c>
      <c r="I15">
        <v>5429000</v>
      </c>
      <c r="J15">
        <v>-14308.17</v>
      </c>
      <c r="M15">
        <v>-72675.27</v>
      </c>
      <c r="N15">
        <v>-3408033</v>
      </c>
      <c r="P15">
        <v>-2422696.4900000002</v>
      </c>
      <c r="Q15">
        <v>2422696.4900000002</v>
      </c>
      <c r="R15">
        <v>-5429000</v>
      </c>
      <c r="S15">
        <v>5429000</v>
      </c>
    </row>
    <row r="16" spans="1:19" x14ac:dyDescent="0.2">
      <c r="A16" s="630" t="s">
        <v>1899</v>
      </c>
      <c r="B16">
        <v>-714200</v>
      </c>
      <c r="C16">
        <v>603931.23</v>
      </c>
      <c r="D16">
        <v>-536451.23</v>
      </c>
      <c r="F16">
        <v>-745700</v>
      </c>
      <c r="G16">
        <v>745700</v>
      </c>
      <c r="H16">
        <v>-745700</v>
      </c>
      <c r="I16">
        <v>745700</v>
      </c>
      <c r="K16">
        <v>-26962.81</v>
      </c>
      <c r="L16">
        <v>26962.81</v>
      </c>
      <c r="M16">
        <v>-746000</v>
      </c>
      <c r="N16">
        <v>-290344.98</v>
      </c>
      <c r="O16">
        <v>290344.98</v>
      </c>
      <c r="P16">
        <v>-207780.28</v>
      </c>
      <c r="Q16">
        <v>207780.28</v>
      </c>
      <c r="R16">
        <v>-745700</v>
      </c>
      <c r="S16">
        <v>745700</v>
      </c>
    </row>
    <row r="17" spans="1:19" x14ac:dyDescent="0.2">
      <c r="A17" s="630" t="s">
        <v>1903</v>
      </c>
      <c r="N17">
        <v>-12372791.550000001</v>
      </c>
      <c r="O17">
        <v>12372791.550000001</v>
      </c>
    </row>
    <row r="18" spans="1:19" x14ac:dyDescent="0.2">
      <c r="A18" s="630" t="s">
        <v>1900</v>
      </c>
      <c r="C18">
        <v>418107.63</v>
      </c>
      <c r="D18">
        <v>-423107.63</v>
      </c>
    </row>
    <row r="19" spans="1:19" x14ac:dyDescent="0.2">
      <c r="A19" s="630" t="s">
        <v>1901</v>
      </c>
      <c r="C19">
        <v>1786415.92</v>
      </c>
      <c r="D19">
        <v>-1786415.92</v>
      </c>
    </row>
    <row r="20" spans="1:19" x14ac:dyDescent="0.2">
      <c r="A20" s="630" t="s">
        <v>1904</v>
      </c>
    </row>
    <row r="21" spans="1:19" x14ac:dyDescent="0.2">
      <c r="A21" s="630" t="s">
        <v>1987</v>
      </c>
      <c r="D21">
        <v>-25000</v>
      </c>
    </row>
    <row r="22" spans="1:19" x14ac:dyDescent="0.2">
      <c r="A22" s="630" t="s">
        <v>1988</v>
      </c>
    </row>
    <row r="23" spans="1:19" x14ac:dyDescent="0.2">
      <c r="A23" s="630" t="s">
        <v>2090</v>
      </c>
      <c r="D23">
        <v>-391003.18</v>
      </c>
      <c r="E23">
        <v>249000</v>
      </c>
      <c r="H23">
        <v>-600000</v>
      </c>
      <c r="I23">
        <v>600000</v>
      </c>
      <c r="O23">
        <v>0</v>
      </c>
      <c r="P23">
        <v>-600000</v>
      </c>
      <c r="Q23">
        <v>600000</v>
      </c>
      <c r="R23">
        <v>-600000</v>
      </c>
      <c r="S23">
        <v>600000</v>
      </c>
    </row>
    <row r="24" spans="1:19" x14ac:dyDescent="0.2">
      <c r="A24" s="630" t="s">
        <v>1902</v>
      </c>
    </row>
    <row r="25" spans="1:19" x14ac:dyDescent="0.2">
      <c r="A25" s="630" t="s">
        <v>473</v>
      </c>
    </row>
    <row r="26" spans="1:19" x14ac:dyDescent="0.2">
      <c r="A26" s="630" t="s">
        <v>761</v>
      </c>
      <c r="B26">
        <v>-3032149.77</v>
      </c>
      <c r="C26">
        <v>2718313.78</v>
      </c>
      <c r="D26">
        <v>-2749113.78</v>
      </c>
      <c r="E26">
        <v>1106412.8400000001</v>
      </c>
      <c r="H26">
        <v>-3752200</v>
      </c>
      <c r="I26">
        <v>3752200</v>
      </c>
      <c r="J26">
        <v>-254172.3</v>
      </c>
      <c r="K26">
        <v>-277114.43</v>
      </c>
      <c r="L26">
        <v>237114.43</v>
      </c>
      <c r="M26">
        <v>-2268046.69</v>
      </c>
      <c r="N26">
        <v>-2393039.2000000002</v>
      </c>
      <c r="O26">
        <v>2393039.2000000002</v>
      </c>
      <c r="P26">
        <v>-2747571.2</v>
      </c>
      <c r="Q26">
        <v>2747571.2</v>
      </c>
      <c r="R26">
        <v>-3752200</v>
      </c>
      <c r="S26">
        <v>3752200</v>
      </c>
    </row>
    <row r="27" spans="1:19" x14ac:dyDescent="0.2">
      <c r="A27" s="630" t="s">
        <v>1945</v>
      </c>
      <c r="B27">
        <v>-3032149.77</v>
      </c>
      <c r="C27">
        <v>2718313.78</v>
      </c>
      <c r="D27">
        <v>-2749113.78</v>
      </c>
      <c r="E27">
        <v>1106412.8400000001</v>
      </c>
      <c r="H27">
        <v>-3752200</v>
      </c>
      <c r="I27">
        <v>3752200</v>
      </c>
      <c r="J27">
        <v>-254172.3</v>
      </c>
      <c r="K27">
        <v>-277114.43</v>
      </c>
      <c r="L27">
        <v>237114.43</v>
      </c>
      <c r="M27">
        <v>-2268046.69</v>
      </c>
      <c r="N27">
        <v>-2393039.2000000002</v>
      </c>
      <c r="O27">
        <v>2393039.2000000002</v>
      </c>
      <c r="P27">
        <v>-2747571.2</v>
      </c>
      <c r="Q27">
        <v>2747571.2</v>
      </c>
      <c r="R27">
        <v>-3752200</v>
      </c>
      <c r="S27">
        <v>3752200</v>
      </c>
    </row>
    <row r="28" spans="1:19" x14ac:dyDescent="0.2">
      <c r="A28" s="630" t="s">
        <v>47</v>
      </c>
      <c r="B28">
        <v>-552007529.88</v>
      </c>
      <c r="C28">
        <v>11122218.23</v>
      </c>
      <c r="D28">
        <v>-552919410.29999995</v>
      </c>
      <c r="E28">
        <v>530336758.54000002</v>
      </c>
      <c r="F28">
        <v>-587345000</v>
      </c>
      <c r="G28">
        <v>587345000</v>
      </c>
      <c r="H28">
        <v>-592697200</v>
      </c>
      <c r="I28">
        <v>592697200</v>
      </c>
      <c r="J28">
        <v>-268480.46999999997</v>
      </c>
      <c r="K28">
        <v>-989830.4</v>
      </c>
      <c r="L28">
        <v>5201523.4800000004</v>
      </c>
      <c r="M28">
        <v>-576414721.96000004</v>
      </c>
      <c r="N28">
        <v>-590504048.29999995</v>
      </c>
      <c r="O28">
        <v>67970702.590000004</v>
      </c>
      <c r="P28">
        <v>-594917902.48000002</v>
      </c>
      <c r="Q28">
        <v>21979602.48</v>
      </c>
      <c r="R28">
        <v>-592697200</v>
      </c>
      <c r="S28">
        <v>592697200</v>
      </c>
    </row>
    <row r="29" spans="1:19" x14ac:dyDescent="0.2">
      <c r="A29" s="630" t="s">
        <v>48</v>
      </c>
    </row>
    <row r="30" spans="1:19" x14ac:dyDescent="0.2">
      <c r="A30" s="630" t="s">
        <v>571</v>
      </c>
      <c r="B30">
        <v>-256847406.71000001</v>
      </c>
      <c r="C30">
        <v>242420000</v>
      </c>
      <c r="D30">
        <v>-256039852.34</v>
      </c>
      <c r="E30">
        <v>159841000</v>
      </c>
      <c r="F30">
        <v>-218503000</v>
      </c>
      <c r="G30">
        <v>218503000</v>
      </c>
      <c r="H30">
        <v>-226375600</v>
      </c>
      <c r="I30">
        <v>226375600</v>
      </c>
      <c r="K30">
        <v>-21359477.170000002</v>
      </c>
      <c r="L30">
        <v>22793360.219999999</v>
      </c>
      <c r="M30">
        <v>-204448000</v>
      </c>
      <c r="N30">
        <v>-166382619.93000001</v>
      </c>
      <c r="O30">
        <v>173313019.71000001</v>
      </c>
      <c r="P30">
        <v>-173963692.47999999</v>
      </c>
      <c r="Q30">
        <v>173963692.47999999</v>
      </c>
      <c r="R30">
        <v>-226375600</v>
      </c>
      <c r="S30">
        <v>226375600</v>
      </c>
    </row>
    <row r="31" spans="1:19" x14ac:dyDescent="0.2">
      <c r="A31" s="630" t="s">
        <v>1905</v>
      </c>
      <c r="B31">
        <v>-171579000</v>
      </c>
      <c r="C31">
        <v>171579000</v>
      </c>
      <c r="D31">
        <v>-171252600</v>
      </c>
      <c r="E31">
        <v>92000000</v>
      </c>
      <c r="F31">
        <v>-143923000</v>
      </c>
      <c r="G31">
        <v>143923000</v>
      </c>
      <c r="H31">
        <v>-144863000</v>
      </c>
      <c r="I31">
        <v>144863000</v>
      </c>
      <c r="K31">
        <v>-42759478.990000002</v>
      </c>
      <c r="L31">
        <v>42759478.990000002</v>
      </c>
      <c r="M31">
        <v>-152438000</v>
      </c>
      <c r="N31">
        <v>-117500802.06</v>
      </c>
      <c r="O31">
        <v>117500802.06</v>
      </c>
      <c r="P31">
        <v>-76304924.480000004</v>
      </c>
      <c r="Q31">
        <v>76304924.480000004</v>
      </c>
      <c r="R31">
        <v>-144863000</v>
      </c>
      <c r="S31">
        <v>144863000</v>
      </c>
    </row>
    <row r="32" spans="1:19" x14ac:dyDescent="0.2">
      <c r="A32" s="630" t="s">
        <v>1940</v>
      </c>
      <c r="B32">
        <v>-52001000</v>
      </c>
      <c r="C32">
        <v>52001000</v>
      </c>
      <c r="D32">
        <v>-52001000</v>
      </c>
      <c r="E32">
        <v>52001000</v>
      </c>
      <c r="F32">
        <v>-60000000</v>
      </c>
      <c r="G32">
        <v>60000000</v>
      </c>
      <c r="H32">
        <v>-60000000</v>
      </c>
      <c r="I32">
        <v>60000000</v>
      </c>
      <c r="K32">
        <v>21400000</v>
      </c>
      <c r="L32">
        <v>-21400000</v>
      </c>
      <c r="M32">
        <v>-38600000</v>
      </c>
      <c r="N32">
        <v>-38600000</v>
      </c>
      <c r="O32">
        <v>38600000</v>
      </c>
      <c r="P32">
        <v>-87000000</v>
      </c>
      <c r="Q32">
        <v>87000000</v>
      </c>
      <c r="R32">
        <v>-60000000</v>
      </c>
      <c r="S32">
        <v>60000000</v>
      </c>
    </row>
    <row r="33" spans="1:19" x14ac:dyDescent="0.2">
      <c r="A33" s="630" t="s">
        <v>915</v>
      </c>
      <c r="B33">
        <v>-5000000</v>
      </c>
      <c r="C33">
        <v>5000000</v>
      </c>
      <c r="D33">
        <v>-4518845.63</v>
      </c>
      <c r="E33">
        <v>2000000</v>
      </c>
      <c r="F33">
        <v>-4730000</v>
      </c>
      <c r="G33">
        <v>4730000</v>
      </c>
      <c r="H33">
        <v>-4730000</v>
      </c>
      <c r="I33">
        <v>4730000</v>
      </c>
      <c r="L33">
        <v>160662.04999999999</v>
      </c>
      <c r="M33">
        <v>-5500000</v>
      </c>
      <c r="N33">
        <v>-689380</v>
      </c>
      <c r="O33">
        <v>1096430.47</v>
      </c>
      <c r="P33">
        <v>-260000</v>
      </c>
      <c r="Q33">
        <v>260000</v>
      </c>
      <c r="R33">
        <v>-4730000</v>
      </c>
      <c r="S33">
        <v>4730000</v>
      </c>
    </row>
    <row r="34" spans="1:19" x14ac:dyDescent="0.2">
      <c r="A34" s="630" t="s">
        <v>1941</v>
      </c>
      <c r="B34">
        <v>-13840000</v>
      </c>
      <c r="C34">
        <v>13840000</v>
      </c>
      <c r="D34">
        <v>-13840000</v>
      </c>
      <c r="E34">
        <v>13840000</v>
      </c>
      <c r="F34">
        <v>-9850000</v>
      </c>
      <c r="G34">
        <v>9850000</v>
      </c>
      <c r="H34">
        <v>-9850000</v>
      </c>
      <c r="I34">
        <v>9850000</v>
      </c>
      <c r="L34">
        <v>1273221</v>
      </c>
      <c r="M34">
        <v>-7910000</v>
      </c>
      <c r="N34">
        <v>-2659871.69</v>
      </c>
      <c r="O34">
        <v>9183221</v>
      </c>
      <c r="R34">
        <v>-9850000</v>
      </c>
      <c r="S34">
        <v>9850000</v>
      </c>
    </row>
    <row r="35" spans="1:19" x14ac:dyDescent="0.2">
      <c r="A35" s="630" t="s">
        <v>1947</v>
      </c>
      <c r="D35">
        <v>-14427406.710000001</v>
      </c>
      <c r="H35">
        <v>-6932600</v>
      </c>
      <c r="I35">
        <v>6932600</v>
      </c>
      <c r="K35">
        <v>1.82</v>
      </c>
      <c r="L35">
        <v>-1.82</v>
      </c>
      <c r="N35">
        <v>-6932566.1799999997</v>
      </c>
      <c r="O35">
        <v>6932566.1799999997</v>
      </c>
      <c r="P35">
        <v>-10398768</v>
      </c>
      <c r="Q35">
        <v>10398768</v>
      </c>
      <c r="R35">
        <v>-6932600</v>
      </c>
      <c r="S35">
        <v>6932600</v>
      </c>
    </row>
    <row r="36" spans="1:19" x14ac:dyDescent="0.2">
      <c r="A36" s="630" t="s">
        <v>572</v>
      </c>
      <c r="B36">
        <v>5000</v>
      </c>
      <c r="D36">
        <v>-67480</v>
      </c>
      <c r="F36">
        <v>-500000</v>
      </c>
      <c r="G36">
        <v>500000</v>
      </c>
      <c r="H36">
        <v>-632500</v>
      </c>
      <c r="I36">
        <v>632500</v>
      </c>
      <c r="J36">
        <v>22750</v>
      </c>
      <c r="K36">
        <v>-244200</v>
      </c>
      <c r="L36">
        <v>-244200</v>
      </c>
      <c r="M36">
        <v>-477250</v>
      </c>
      <c r="N36">
        <v>-464420</v>
      </c>
      <c r="O36">
        <v>0</v>
      </c>
      <c r="R36">
        <v>-632500</v>
      </c>
      <c r="S36">
        <v>632500</v>
      </c>
    </row>
    <row r="37" spans="1:19" x14ac:dyDescent="0.2">
      <c r="A37" s="630" t="s">
        <v>1938</v>
      </c>
      <c r="B37">
        <v>81360</v>
      </c>
      <c r="D37">
        <v>0</v>
      </c>
    </row>
    <row r="38" spans="1:19" x14ac:dyDescent="0.2">
      <c r="A38" s="630" t="s">
        <v>2081</v>
      </c>
      <c r="B38">
        <v>5000</v>
      </c>
      <c r="D38">
        <v>0</v>
      </c>
    </row>
    <row r="39" spans="1:19" x14ac:dyDescent="0.2">
      <c r="A39" s="630" t="s">
        <v>2082</v>
      </c>
    </row>
    <row r="40" spans="1:19" x14ac:dyDescent="0.2">
      <c r="A40" s="630" t="s">
        <v>2083</v>
      </c>
      <c r="D40">
        <v>-67480</v>
      </c>
      <c r="K40">
        <v>-120450</v>
      </c>
      <c r="L40">
        <v>-120450</v>
      </c>
      <c r="N40">
        <v>-120450</v>
      </c>
      <c r="O40">
        <v>0</v>
      </c>
    </row>
    <row r="41" spans="1:19" x14ac:dyDescent="0.2">
      <c r="A41" s="630" t="s">
        <v>1900</v>
      </c>
      <c r="F41">
        <v>-500000</v>
      </c>
      <c r="G41">
        <v>500000</v>
      </c>
      <c r="H41">
        <v>-500000</v>
      </c>
      <c r="I41">
        <v>500000</v>
      </c>
      <c r="J41">
        <v>123750</v>
      </c>
      <c r="K41">
        <v>-123750</v>
      </c>
      <c r="L41">
        <v>-123750</v>
      </c>
      <c r="M41">
        <v>-376250</v>
      </c>
      <c r="N41">
        <v>-343970</v>
      </c>
      <c r="O41">
        <v>0</v>
      </c>
      <c r="R41">
        <v>-500000</v>
      </c>
      <c r="S41">
        <v>500000</v>
      </c>
    </row>
    <row r="42" spans="1:19" x14ac:dyDescent="0.2">
      <c r="A42" s="630" t="s">
        <v>659</v>
      </c>
      <c r="H42">
        <v>-132500</v>
      </c>
      <c r="I42">
        <v>132500</v>
      </c>
      <c r="J42">
        <v>-101000</v>
      </c>
      <c r="M42">
        <v>-101000</v>
      </c>
      <c r="R42">
        <v>-132500</v>
      </c>
      <c r="S42">
        <v>132500</v>
      </c>
    </row>
    <row r="43" spans="1:19" x14ac:dyDescent="0.2">
      <c r="A43" s="630" t="s">
        <v>473</v>
      </c>
    </row>
    <row r="44" spans="1:19" x14ac:dyDescent="0.2">
      <c r="A44" s="630" t="s">
        <v>761</v>
      </c>
      <c r="D44">
        <v>-2193606.1800000002</v>
      </c>
    </row>
    <row r="45" spans="1:19" x14ac:dyDescent="0.2">
      <c r="A45" s="630" t="s">
        <v>1945</v>
      </c>
      <c r="D45">
        <v>-2193606.1800000002</v>
      </c>
    </row>
    <row r="46" spans="1:19" x14ac:dyDescent="0.2">
      <c r="A46" s="630" t="s">
        <v>49</v>
      </c>
      <c r="B46">
        <v>-256842406.71000001</v>
      </c>
      <c r="C46">
        <v>242420000</v>
      </c>
      <c r="D46">
        <v>-258300938.52000001</v>
      </c>
      <c r="E46">
        <v>159841000</v>
      </c>
      <c r="F46">
        <v>-219003000</v>
      </c>
      <c r="G46">
        <v>219003000</v>
      </c>
      <c r="H46">
        <v>-227008100</v>
      </c>
      <c r="I46">
        <v>227008100</v>
      </c>
      <c r="J46">
        <v>22750</v>
      </c>
      <c r="K46">
        <v>-21603677.170000002</v>
      </c>
      <c r="L46">
        <v>22549160.219999999</v>
      </c>
      <c r="M46">
        <v>-204925250</v>
      </c>
      <c r="N46">
        <v>-166847039.93000001</v>
      </c>
      <c r="O46">
        <v>173313019.71000001</v>
      </c>
      <c r="P46">
        <v>-173963692.47999999</v>
      </c>
      <c r="Q46">
        <v>173963692.47999999</v>
      </c>
      <c r="R46">
        <v>-227008100</v>
      </c>
      <c r="S46">
        <v>227008100</v>
      </c>
    </row>
    <row r="47" spans="1:19" x14ac:dyDescent="0.2">
      <c r="A47" s="630" t="s">
        <v>50</v>
      </c>
      <c r="B47">
        <v>-808849936.59000003</v>
      </c>
      <c r="C47">
        <v>253542218.22999999</v>
      </c>
      <c r="D47">
        <v>-811220348.82000005</v>
      </c>
      <c r="E47">
        <v>690177758.53999996</v>
      </c>
      <c r="F47">
        <v>-806348000</v>
      </c>
      <c r="G47">
        <v>806348000</v>
      </c>
      <c r="H47">
        <v>-819705300</v>
      </c>
      <c r="I47">
        <v>819705300</v>
      </c>
      <c r="J47">
        <v>-245730.47</v>
      </c>
      <c r="K47">
        <v>-22593507.57</v>
      </c>
      <c r="L47">
        <v>27750683.699999999</v>
      </c>
      <c r="M47">
        <v>-781339971.96000004</v>
      </c>
      <c r="N47">
        <v>-757351088.23000002</v>
      </c>
      <c r="O47">
        <v>241283722.30000001</v>
      </c>
      <c r="P47">
        <v>-768881594.96000004</v>
      </c>
      <c r="Q47">
        <v>195943294.96000001</v>
      </c>
      <c r="R47">
        <v>-819705300</v>
      </c>
      <c r="S47">
        <v>819705300</v>
      </c>
    </row>
  </sheetData>
  <pageMargins left="0.7" right="0.7" top="0.75" bottom="0.75" header="0.3" footer="0.3"/>
  <customProperties>
    <customPr name="_pios_id" r:id="rId1"/>
    <customPr name="CofWorksheetType"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L88"/>
  <sheetViews>
    <sheetView showGridLines="0" showZeros="0" zoomScaleNormal="100" workbookViewId="0">
      <pane xSplit="1" ySplit="4" topLeftCell="B5" activePane="bottomRight" state="frozen"/>
      <selection pane="topRight"/>
      <selection pane="bottomLeft"/>
      <selection pane="bottomRight" sqref="A1:K1"/>
    </sheetView>
  </sheetViews>
  <sheetFormatPr defaultColWidth="9.28515625" defaultRowHeight="12.75" x14ac:dyDescent="0.25"/>
  <cols>
    <col min="1" max="1" width="40.7109375" style="21" customWidth="1"/>
    <col min="2" max="2" width="3.5703125" style="47" customWidth="1"/>
    <col min="3" max="8" width="8.7109375" style="21" customWidth="1"/>
    <col min="9" max="9" width="9.42578125" style="21" bestFit="1" customWidth="1"/>
    <col min="10"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ht="13.5" x14ac:dyDescent="0.25">
      <c r="A1" s="848" t="str">
        <f>muni&amp; " - "&amp;S71M&amp; " - "&amp;Head57</f>
        <v>KZN282 uMhlathuze - Supporting Table SC7(1) Monthly Budget Statement - transfers and grant expenditure  - M10 April</v>
      </c>
      <c r="B1" s="848"/>
      <c r="C1" s="848"/>
      <c r="D1" s="848"/>
      <c r="E1" s="848"/>
      <c r="F1" s="848"/>
      <c r="G1" s="848"/>
      <c r="H1" s="848"/>
      <c r="I1" s="848"/>
      <c r="J1" s="848"/>
      <c r="K1" s="848"/>
    </row>
    <row r="2" spans="1:11" x14ac:dyDescent="0.25">
      <c r="A2" s="837" t="str">
        <f>desc</f>
        <v>Description</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47"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519" t="s">
        <v>615</v>
      </c>
      <c r="B4" s="141"/>
      <c r="C4" s="520"/>
      <c r="D4" s="549"/>
      <c r="E4" s="522"/>
      <c r="F4" s="523"/>
      <c r="G4" s="523"/>
      <c r="H4" s="523"/>
      <c r="I4" s="523"/>
      <c r="J4" s="524" t="s">
        <v>528</v>
      </c>
      <c r="K4" s="525"/>
    </row>
    <row r="5" spans="1:11" ht="12.75" customHeight="1" x14ac:dyDescent="0.25">
      <c r="A5" s="550" t="s">
        <v>492</v>
      </c>
      <c r="B5" s="543"/>
      <c r="C5" s="74"/>
      <c r="D5" s="36"/>
      <c r="E5" s="34"/>
      <c r="F5" s="34"/>
      <c r="G5" s="34"/>
      <c r="H5" s="34"/>
      <c r="I5" s="34"/>
      <c r="J5" s="189"/>
      <c r="K5" s="78"/>
    </row>
    <row r="6" spans="1:11" ht="5.0999999999999996" customHeight="1" x14ac:dyDescent="0.25">
      <c r="A6" s="29"/>
      <c r="B6" s="90"/>
      <c r="C6" s="74"/>
      <c r="D6" s="36"/>
      <c r="E6" s="34"/>
      <c r="F6" s="34"/>
      <c r="G6" s="34"/>
      <c r="H6" s="34"/>
      <c r="I6" s="34"/>
      <c r="J6" s="34"/>
      <c r="K6" s="78"/>
    </row>
    <row r="7" spans="1:11" ht="12.75" customHeight="1" x14ac:dyDescent="0.25">
      <c r="A7" s="29" t="s">
        <v>42</v>
      </c>
      <c r="B7" s="90"/>
      <c r="C7" s="74"/>
      <c r="D7" s="36"/>
      <c r="E7" s="34"/>
      <c r="F7" s="34"/>
      <c r="G7" s="34"/>
      <c r="H7" s="34"/>
      <c r="I7" s="34"/>
      <c r="J7" s="34"/>
      <c r="K7" s="78"/>
    </row>
    <row r="8" spans="1:11" ht="14.25" customHeight="1" x14ac:dyDescent="0.25">
      <c r="A8" s="66" t="str">
        <f>'SC6'!A8</f>
        <v>National Government:</v>
      </c>
      <c r="B8" s="90"/>
      <c r="C8" s="69">
        <f t="shared" ref="C8:H8" si="0">SUM(C9:C15)</f>
        <v>532313919.81</v>
      </c>
      <c r="D8" s="39">
        <f t="shared" si="0"/>
        <v>569770000</v>
      </c>
      <c r="E8" s="38">
        <f t="shared" si="0"/>
        <v>569770000</v>
      </c>
      <c r="F8" s="38">
        <f t="shared" si="0"/>
        <v>4779515.8999999994</v>
      </c>
      <c r="G8" s="149">
        <f t="shared" si="0"/>
        <v>51258119.049999997</v>
      </c>
      <c r="H8" s="38">
        <f t="shared" si="0"/>
        <v>4807218.21</v>
      </c>
      <c r="I8" s="38">
        <f t="shared" ref="I8:I16" si="1">G8-H8</f>
        <v>46450900.839999996</v>
      </c>
      <c r="J8" s="34">
        <f t="shared" ref="J8:J36" si="2">IF(I8=0,"",I8/H8)</f>
        <v>9.662740239952619</v>
      </c>
      <c r="K8" s="96">
        <f>SUM(K9:K15)</f>
        <v>569770000</v>
      </c>
    </row>
    <row r="9" spans="1:11" x14ac:dyDescent="0.25">
      <c r="A9" s="551" t="str">
        <f>'SC6'!A9</f>
        <v>Local Government Equitable Share</v>
      </c>
      <c r="B9" s="90"/>
      <c r="C9" s="755">
        <v>520860000</v>
      </c>
      <c r="D9" s="366">
        <f>SC6Q!G5</f>
        <v>556251000</v>
      </c>
      <c r="E9" s="331">
        <f>SC6Q!I5</f>
        <v>556251000</v>
      </c>
      <c r="F9" s="331">
        <f>SC6Q!L5</f>
        <v>4496097.17</v>
      </c>
      <c r="G9" s="331">
        <f>SC6Q!O5</f>
        <v>47548737.759999998</v>
      </c>
      <c r="H9" s="415">
        <f>SC6Q!Q5</f>
        <v>0</v>
      </c>
      <c r="I9" s="767"/>
      <c r="J9" s="768"/>
      <c r="K9" s="332">
        <f>SC6Q!S5</f>
        <v>556251000</v>
      </c>
    </row>
    <row r="10" spans="1:11" ht="12.75" customHeight="1" x14ac:dyDescent="0.25">
      <c r="A10" s="551" t="str">
        <f>'SC6'!A10</f>
        <v>Finance Management</v>
      </c>
      <c r="B10" s="90"/>
      <c r="C10" s="755">
        <v>2500000</v>
      </c>
      <c r="D10" s="366">
        <f>SC6Q!G6</f>
        <v>2500000</v>
      </c>
      <c r="E10" s="331">
        <f>SC6Q!I6</f>
        <v>2500000</v>
      </c>
      <c r="F10" s="331">
        <f>SC6Q!L6</f>
        <v>174491.17</v>
      </c>
      <c r="G10" s="331">
        <f>SC6Q!O6</f>
        <v>2038780.47</v>
      </c>
      <c r="H10" s="415">
        <f>SC6Q!Q6</f>
        <v>623407.43999999994</v>
      </c>
      <c r="I10" s="767"/>
      <c r="J10" s="768"/>
      <c r="K10" s="332">
        <f>SC6Q!S6</f>
        <v>2500000</v>
      </c>
    </row>
    <row r="11" spans="1:11" ht="12.75" customHeight="1" x14ac:dyDescent="0.25">
      <c r="A11" s="551" t="str">
        <f>'SC6'!A11</f>
        <v>EPWP Incentive</v>
      </c>
      <c r="B11" s="90"/>
      <c r="C11" s="755">
        <v>2916000</v>
      </c>
      <c r="D11" s="366">
        <f>SC6Q!G7</f>
        <v>2674000</v>
      </c>
      <c r="E11" s="331">
        <f>SC6Q!I7</f>
        <v>2674000</v>
      </c>
      <c r="F11" s="331">
        <f>SC6Q!L7</f>
        <v>192669.6</v>
      </c>
      <c r="G11" s="331">
        <f>SC6Q!O7</f>
        <v>1670600.82</v>
      </c>
      <c r="H11" s="415">
        <f>SC6Q!Q7</f>
        <v>1711685.7</v>
      </c>
      <c r="I11" s="767"/>
      <c r="J11" s="768"/>
      <c r="K11" s="332">
        <f>SC6Q!S7</f>
        <v>2674000</v>
      </c>
    </row>
    <row r="12" spans="1:11" ht="12.75" customHeight="1" x14ac:dyDescent="0.25">
      <c r="A12" s="551" t="str">
        <f>'SC6'!A12</f>
        <v>Project Management Unit</v>
      </c>
      <c r="B12" s="90"/>
      <c r="C12" s="755">
        <v>326400</v>
      </c>
      <c r="D12" s="366">
        <f>SC6Q!G8</f>
        <v>7575000</v>
      </c>
      <c r="E12" s="331">
        <f>SC6Q!I8</f>
        <v>7575000</v>
      </c>
      <c r="F12" s="331">
        <f>SC6Q!L8</f>
        <v>0</v>
      </c>
      <c r="G12" s="331">
        <f>SC6Q!O8</f>
        <v>0</v>
      </c>
      <c r="H12" s="415">
        <f>SC6Q!Q8</f>
        <v>2272500</v>
      </c>
      <c r="I12" s="767"/>
      <c r="J12" s="768"/>
      <c r="K12" s="332">
        <f>SC6Q!S8</f>
        <v>7575000</v>
      </c>
    </row>
    <row r="13" spans="1:11" ht="12.75" customHeight="1" x14ac:dyDescent="0.25">
      <c r="A13" s="551" t="str">
        <f>'SC6'!A13</f>
        <v>Energy Efficient and Demand Management</v>
      </c>
      <c r="B13" s="90"/>
      <c r="C13" s="775">
        <v>481154.37</v>
      </c>
      <c r="D13" s="366">
        <f>SC6Q!G9</f>
        <v>770000</v>
      </c>
      <c r="E13" s="331">
        <f>SC6Q!I9</f>
        <v>770000</v>
      </c>
      <c r="F13" s="331">
        <f>SC6Q!L9</f>
        <v>-83742.039999999994</v>
      </c>
      <c r="G13" s="331">
        <f>SC6Q!O9</f>
        <v>0</v>
      </c>
      <c r="H13" s="415">
        <f>SC6Q!Q9</f>
        <v>199625.07</v>
      </c>
      <c r="I13" s="767"/>
      <c r="J13" s="768"/>
      <c r="K13" s="332">
        <f>SC6Q!S9</f>
        <v>770000</v>
      </c>
    </row>
    <row r="14" spans="1:11" ht="12.75" customHeight="1" x14ac:dyDescent="0.25">
      <c r="A14" s="551" t="s">
        <v>1947</v>
      </c>
      <c r="B14" s="90"/>
      <c r="C14" s="775">
        <v>5230365.4399999995</v>
      </c>
      <c r="D14" s="366"/>
      <c r="E14" s="331"/>
      <c r="F14" s="331"/>
      <c r="G14" s="331"/>
      <c r="H14" s="415"/>
      <c r="I14" s="784"/>
      <c r="J14" s="768"/>
      <c r="K14" s="332"/>
    </row>
    <row r="15" spans="1:11" ht="12.75" customHeight="1" x14ac:dyDescent="0.25">
      <c r="A15" s="551" t="str">
        <f>'SC6'!A15</f>
        <v>Other transfers and grants [insert description]</v>
      </c>
      <c r="B15" s="90"/>
      <c r="C15" s="379"/>
      <c r="D15" s="366"/>
      <c r="E15" s="415"/>
      <c r="F15" s="331"/>
      <c r="G15" s="331"/>
      <c r="H15" s="415"/>
      <c r="I15" s="763"/>
      <c r="J15" s="781"/>
      <c r="K15" s="332"/>
    </row>
    <row r="16" spans="1:11" ht="12.75" customHeight="1" x14ac:dyDescent="0.25">
      <c r="A16" s="542" t="str">
        <f>'SC6'!A16</f>
        <v>Provincial Government:</v>
      </c>
      <c r="B16" s="90"/>
      <c r="C16" s="39">
        <f>SUM(C17:C30)</f>
        <v>19617792.370000001</v>
      </c>
      <c r="D16" s="492">
        <f t="shared" ref="D16:H16" si="3">SUM(D17:D30)</f>
        <v>17575000</v>
      </c>
      <c r="E16" s="70">
        <f t="shared" si="3"/>
        <v>19175000</v>
      </c>
      <c r="F16" s="70">
        <f t="shared" si="3"/>
        <v>184893.15</v>
      </c>
      <c r="G16" s="70">
        <f t="shared" si="3"/>
        <v>14319544.34</v>
      </c>
      <c r="H16" s="38">
        <f t="shared" si="3"/>
        <v>14424813.07</v>
      </c>
      <c r="I16" s="149">
        <f t="shared" si="1"/>
        <v>-105268.73000000045</v>
      </c>
      <c r="J16" s="781">
        <f t="shared" si="2"/>
        <v>-7.2977534952555507E-3</v>
      </c>
      <c r="K16" s="96">
        <f>SUM(K17:K30)</f>
        <v>19175000</v>
      </c>
    </row>
    <row r="17" spans="1:12" ht="12.75" customHeight="1" x14ac:dyDescent="0.25">
      <c r="A17" s="551" t="s">
        <v>1178</v>
      </c>
      <c r="B17" s="90"/>
      <c r="C17" s="379">
        <v>249000</v>
      </c>
      <c r="D17" s="366">
        <f>SC6Q!G12</f>
        <v>260000</v>
      </c>
      <c r="E17" s="331">
        <f>SC6Q!I12</f>
        <v>260000</v>
      </c>
      <c r="F17" s="331">
        <f>SC6Q!L12</f>
        <v>0</v>
      </c>
      <c r="G17" s="331">
        <f>SC6Q!O12</f>
        <v>0</v>
      </c>
      <c r="H17" s="415">
        <f>SC6Q!Q12</f>
        <v>0</v>
      </c>
      <c r="I17" s="784"/>
      <c r="J17" s="767"/>
      <c r="K17" s="332">
        <f>SC6Q!S12</f>
        <v>260000</v>
      </c>
    </row>
    <row r="18" spans="1:12" ht="12.75" customHeight="1" x14ac:dyDescent="0.25">
      <c r="A18" s="551" t="s">
        <v>1898</v>
      </c>
      <c r="B18" s="90"/>
      <c r="C18" s="379">
        <v>9593000</v>
      </c>
      <c r="D18" s="366">
        <f>SC6Q!G13</f>
        <v>10016000</v>
      </c>
      <c r="E18" s="331">
        <f>SC6Q!I13</f>
        <v>10016000</v>
      </c>
      <c r="F18" s="331">
        <f>SC6Q!L13</f>
        <v>0</v>
      </c>
      <c r="G18" s="331">
        <f>SC6Q!O13</f>
        <v>0</v>
      </c>
      <c r="H18" s="415">
        <f>SC6Q!Q13</f>
        <v>10016000</v>
      </c>
      <c r="I18" s="784"/>
      <c r="J18" s="767"/>
      <c r="K18" s="332">
        <f>SC6Q!S13</f>
        <v>10016000</v>
      </c>
    </row>
    <row r="19" spans="1:12" ht="12.75" customHeight="1" x14ac:dyDescent="0.25">
      <c r="A19" s="551" t="s">
        <v>508</v>
      </c>
      <c r="B19" s="90"/>
      <c r="C19" s="379">
        <v>2032800</v>
      </c>
      <c r="D19" s="366">
        <f>SC6Q!G14</f>
        <v>2124300</v>
      </c>
      <c r="E19" s="331">
        <f>SC6Q!I14</f>
        <v>2124300</v>
      </c>
      <c r="F19" s="331">
        <f>SC6Q!L14</f>
        <v>157930.34</v>
      </c>
      <c r="G19" s="331">
        <f>SC6Q!O14</f>
        <v>1656407.81</v>
      </c>
      <c r="H19" s="415">
        <f>SC6Q!Q14</f>
        <v>1178336.3</v>
      </c>
      <c r="I19" s="784"/>
      <c r="J19" s="767"/>
      <c r="K19" s="332">
        <f>SC6Q!S14</f>
        <v>2124300</v>
      </c>
    </row>
    <row r="20" spans="1:12" ht="12.75" customHeight="1" x14ac:dyDescent="0.25">
      <c r="A20" s="551" t="s">
        <v>659</v>
      </c>
      <c r="B20" s="90"/>
      <c r="C20" s="379">
        <v>4788080</v>
      </c>
      <c r="D20" s="366">
        <f>SC6Q!G15</f>
        <v>4429000</v>
      </c>
      <c r="E20" s="331">
        <f>SC6Q!I15</f>
        <v>5429000</v>
      </c>
      <c r="F20" s="331">
        <f>SC6Q!L15</f>
        <v>0</v>
      </c>
      <c r="G20" s="331">
        <f>SC6Q!O15</f>
        <v>0</v>
      </c>
      <c r="H20" s="415">
        <f>SC6Q!Q15</f>
        <v>2422696.4900000002</v>
      </c>
      <c r="I20" s="784"/>
      <c r="J20" s="767"/>
      <c r="K20" s="332">
        <f>SC6Q!S15</f>
        <v>5429000</v>
      </c>
    </row>
    <row r="21" spans="1:12" ht="12.75" customHeight="1" x14ac:dyDescent="0.25">
      <c r="A21" s="551" t="s">
        <v>1899</v>
      </c>
      <c r="B21" s="90"/>
      <c r="C21" s="379">
        <v>536451.23</v>
      </c>
      <c r="D21" s="366">
        <f>SC6Q!G16</f>
        <v>745700</v>
      </c>
      <c r="E21" s="331">
        <f>SC6Q!I16</f>
        <v>745700</v>
      </c>
      <c r="F21" s="331">
        <f>SC6Q!L16</f>
        <v>26962.81</v>
      </c>
      <c r="G21" s="331">
        <f>SC6Q!O16</f>
        <v>290344.98</v>
      </c>
      <c r="H21" s="415">
        <f>SC6Q!Q16</f>
        <v>207780.28</v>
      </c>
      <c r="I21" s="784"/>
      <c r="J21" s="767"/>
      <c r="K21" s="332">
        <f>SC6Q!S16</f>
        <v>745700</v>
      </c>
    </row>
    <row r="22" spans="1:12" ht="12.75" customHeight="1" x14ac:dyDescent="0.25">
      <c r="A22" s="551" t="str">
        <f>'SC6'!A22</f>
        <v>Richards Bay Airport Feasibility Study</v>
      </c>
      <c r="B22" s="90"/>
      <c r="C22" s="379">
        <v>418107.63</v>
      </c>
      <c r="D22" s="366">
        <f>SC6Q!G18</f>
        <v>0</v>
      </c>
      <c r="E22" s="331">
        <f>SC6Q!I18</f>
        <v>0</v>
      </c>
      <c r="F22" s="331">
        <f>SC6Q!L18</f>
        <v>0</v>
      </c>
      <c r="G22" s="331">
        <f>SC6Q!O18</f>
        <v>0</v>
      </c>
      <c r="H22" s="415">
        <f>SC6Q!Q18</f>
        <v>0</v>
      </c>
      <c r="I22" s="784"/>
      <c r="J22" s="767"/>
      <c r="K22" s="332">
        <f>SC6Q!S18</f>
        <v>0</v>
      </c>
    </row>
    <row r="23" spans="1:12" ht="12.75" customHeight="1" x14ac:dyDescent="0.25">
      <c r="A23" s="551" t="s">
        <v>1901</v>
      </c>
      <c r="B23" s="90"/>
      <c r="C23" s="379">
        <v>1786415.92</v>
      </c>
      <c r="D23" s="366">
        <f>SC6Q!G19</f>
        <v>0</v>
      </c>
      <c r="E23" s="331">
        <f>SC6Q!I19</f>
        <v>0</v>
      </c>
      <c r="F23" s="331">
        <f>SC6Q!L19</f>
        <v>0</v>
      </c>
      <c r="G23" s="331">
        <f>SC6Q!O19</f>
        <v>0</v>
      </c>
      <c r="H23" s="415">
        <f>SC6Q!Q19</f>
        <v>0</v>
      </c>
      <c r="I23" s="784"/>
      <c r="J23" s="767"/>
      <c r="K23" s="332">
        <f>SC6Q!S19</f>
        <v>0</v>
      </c>
    </row>
    <row r="24" spans="1:12" ht="12.75" customHeight="1" x14ac:dyDescent="0.25">
      <c r="A24" s="551" t="str">
        <f>'SC6'!A24</f>
        <v>Enhanced Extended Discount Benefit Scheme</v>
      </c>
      <c r="B24" s="90"/>
      <c r="C24" s="379">
        <v>66934.41</v>
      </c>
      <c r="D24" s="366">
        <f>SC6Q!G17</f>
        <v>0</v>
      </c>
      <c r="E24" s="331">
        <f>SC6Q!I17</f>
        <v>0</v>
      </c>
      <c r="F24" s="331">
        <f>SC6Q!L17</f>
        <v>0</v>
      </c>
      <c r="G24" s="331">
        <f>SC6Q!O17</f>
        <v>12372791.550000001</v>
      </c>
      <c r="H24" s="415">
        <f>SC6Q!Q17</f>
        <v>0</v>
      </c>
      <c r="I24" s="784"/>
      <c r="J24" s="767"/>
      <c r="K24" s="332">
        <f>SC6Q!S17</f>
        <v>0</v>
      </c>
    </row>
    <row r="25" spans="1:12" ht="12.75" customHeight="1" x14ac:dyDescent="0.25">
      <c r="A25" s="551" t="str">
        <f>'SC6'!A25</f>
        <v>Hostels</v>
      </c>
      <c r="B25" s="90"/>
      <c r="C25" s="379">
        <v>0</v>
      </c>
      <c r="D25" s="366">
        <f>SC6Q!G20</f>
        <v>0</v>
      </c>
      <c r="E25" s="331">
        <f>SC6Q!I20</f>
        <v>0</v>
      </c>
      <c r="F25" s="331">
        <f>SC6Q!L20</f>
        <v>0</v>
      </c>
      <c r="G25" s="331">
        <f>SC6Q!O20</f>
        <v>0</v>
      </c>
      <c r="H25" s="415">
        <f>SC6Q!Q20</f>
        <v>0</v>
      </c>
      <c r="I25" s="784"/>
      <c r="J25" s="767"/>
      <c r="K25" s="332">
        <f>SC6Q!S20</f>
        <v>0</v>
      </c>
    </row>
    <row r="26" spans="1:12" ht="12.75" customHeight="1" x14ac:dyDescent="0.25">
      <c r="A26" s="551" t="str">
        <f>'SC6'!A30</f>
        <v>Other transfers and grants [insert description]</v>
      </c>
      <c r="B26" s="90"/>
      <c r="C26" s="379">
        <v>0</v>
      </c>
      <c r="D26" s="366">
        <f>SC6Q!G24</f>
        <v>0</v>
      </c>
      <c r="E26" s="331">
        <f>SC6Q!I24</f>
        <v>0</v>
      </c>
      <c r="F26" s="331">
        <f>SC6Q!L24</f>
        <v>0</v>
      </c>
      <c r="G26" s="331">
        <f>SC6Q!O24</f>
        <v>0</v>
      </c>
      <c r="H26" s="415">
        <f>SC6Q!Q24</f>
        <v>0</v>
      </c>
      <c r="I26" s="763"/>
      <c r="J26" s="781"/>
      <c r="K26" s="332">
        <f>SC6Q!S24</f>
        <v>0</v>
      </c>
    </row>
    <row r="27" spans="1:12" ht="12.75" customHeight="1" x14ac:dyDescent="0.25">
      <c r="A27" s="551" t="s">
        <v>1902</v>
      </c>
      <c r="B27" s="90"/>
      <c r="C27" s="379">
        <v>0</v>
      </c>
      <c r="D27" s="366"/>
      <c r="E27" s="331"/>
      <c r="F27" s="331"/>
      <c r="G27" s="331"/>
      <c r="H27" s="415"/>
      <c r="I27" s="763"/>
      <c r="J27" s="781"/>
      <c r="K27" s="332"/>
    </row>
    <row r="28" spans="1:12" ht="12.75" customHeight="1" x14ac:dyDescent="0.25">
      <c r="A28" s="551" t="s">
        <v>1987</v>
      </c>
      <c r="B28" s="90"/>
      <c r="C28" s="379">
        <v>0</v>
      </c>
      <c r="D28" s="366">
        <f>SC6Q!G21</f>
        <v>0</v>
      </c>
      <c r="E28" s="331">
        <f>SC6Q!I21</f>
        <v>0</v>
      </c>
      <c r="F28" s="331">
        <f>SC6Q!L21</f>
        <v>0</v>
      </c>
      <c r="G28" s="331">
        <f>SC6Q!O21</f>
        <v>0</v>
      </c>
      <c r="H28" s="415">
        <f>SC6Q!Q21</f>
        <v>0</v>
      </c>
      <c r="I28" s="763"/>
      <c r="J28" s="781"/>
      <c r="K28" s="332">
        <f>SC6Q!S21</f>
        <v>0</v>
      </c>
    </row>
    <row r="29" spans="1:12" ht="12.75" customHeight="1" x14ac:dyDescent="0.25">
      <c r="A29" s="551" t="s">
        <v>1988</v>
      </c>
      <c r="B29" s="90"/>
      <c r="C29" s="379">
        <v>147003.18</v>
      </c>
      <c r="D29" s="366">
        <f>SC6Q!G22</f>
        <v>0</v>
      </c>
      <c r="E29" s="331">
        <f>SC6Q!I22</f>
        <v>0</v>
      </c>
      <c r="F29" s="331">
        <f>SC6Q!L22</f>
        <v>0</v>
      </c>
      <c r="G29" s="331">
        <f>SC6Q!O22</f>
        <v>0</v>
      </c>
      <c r="H29" s="415">
        <f>SC6Q!Q22</f>
        <v>0</v>
      </c>
      <c r="I29" s="763"/>
      <c r="J29" s="781"/>
      <c r="K29" s="332">
        <f>SC6Q!S22</f>
        <v>0</v>
      </c>
      <c r="L29" s="780"/>
    </row>
    <row r="30" spans="1:12" ht="12.75" customHeight="1" x14ac:dyDescent="0.25">
      <c r="A30" s="551" t="s">
        <v>2090</v>
      </c>
      <c r="B30" s="90"/>
      <c r="C30" s="379"/>
      <c r="D30" s="366">
        <f>SC6Q!G23</f>
        <v>0</v>
      </c>
      <c r="E30" s="331">
        <f>SC6Q!I23</f>
        <v>600000</v>
      </c>
      <c r="F30" s="331">
        <f>SC6Q!L23</f>
        <v>0</v>
      </c>
      <c r="G30" s="331">
        <f>SC6Q!O23</f>
        <v>0</v>
      </c>
      <c r="H30" s="415">
        <f>SC6Q!Q23</f>
        <v>600000</v>
      </c>
      <c r="I30" s="763"/>
      <c r="J30" s="763"/>
      <c r="K30" s="332">
        <f>SC6Q!S23</f>
        <v>600000</v>
      </c>
      <c r="L30" s="780"/>
    </row>
    <row r="31" spans="1:12" ht="12.75" customHeight="1" x14ac:dyDescent="0.25">
      <c r="A31" s="542" t="str">
        <f>'SC6'!A31</f>
        <v>District Municipality:</v>
      </c>
      <c r="B31" s="90"/>
      <c r="C31" s="69">
        <f t="shared" ref="C31:H31" si="4">SUM(C32:C32)</f>
        <v>0</v>
      </c>
      <c r="D31" s="39">
        <f t="shared" si="4"/>
        <v>0</v>
      </c>
      <c r="E31" s="38">
        <f t="shared" si="4"/>
        <v>0</v>
      </c>
      <c r="F31" s="38">
        <f t="shared" si="4"/>
        <v>0</v>
      </c>
      <c r="G31" s="149">
        <f t="shared" si="4"/>
        <v>0</v>
      </c>
      <c r="H31" s="38">
        <f t="shared" si="4"/>
        <v>0</v>
      </c>
      <c r="I31" s="763">
        <f t="shared" ref="I31:I33" si="5">G31-H31</f>
        <v>0</v>
      </c>
      <c r="J31" s="763" t="str">
        <f t="shared" si="2"/>
        <v/>
      </c>
      <c r="K31" s="96">
        <f t="shared" ref="K31" si="6">SUM(K32:K32)</f>
        <v>0</v>
      </c>
      <c r="L31" s="780"/>
    </row>
    <row r="32" spans="1:12" ht="12.75" customHeight="1" x14ac:dyDescent="0.25">
      <c r="A32" s="552" t="str">
        <f>'SC6'!A32</f>
        <v>[insert description]</v>
      </c>
      <c r="B32" s="90"/>
      <c r="C32" s="379"/>
      <c r="D32" s="366"/>
      <c r="E32" s="331"/>
      <c r="F32" s="331"/>
      <c r="G32" s="415"/>
      <c r="H32" s="331"/>
      <c r="I32" s="763">
        <f t="shared" si="5"/>
        <v>0</v>
      </c>
      <c r="J32" s="763" t="str">
        <f t="shared" si="2"/>
        <v/>
      </c>
      <c r="K32" s="332"/>
      <c r="L32" s="780"/>
    </row>
    <row r="33" spans="1:12" ht="12.75" customHeight="1" x14ac:dyDescent="0.25">
      <c r="A33" s="542" t="str">
        <f>'SC6'!A33</f>
        <v>Other grant providers:</v>
      </c>
      <c r="B33" s="90"/>
      <c r="C33" s="69">
        <f>SUM(C34:C35)</f>
        <v>2801513.78</v>
      </c>
      <c r="D33" s="39">
        <f t="shared" ref="D33" si="7">SUM(D34:D34)</f>
        <v>0</v>
      </c>
      <c r="E33" s="149">
        <f>SUM(E34:E35)</f>
        <v>3752200</v>
      </c>
      <c r="F33" s="38">
        <f t="shared" ref="F33:H33" si="8">SUM(F34:F35)</f>
        <v>237114.43</v>
      </c>
      <c r="G33" s="38">
        <f t="shared" si="8"/>
        <v>2393039.2000000002</v>
      </c>
      <c r="H33" s="38">
        <f t="shared" si="8"/>
        <v>2747571.2</v>
      </c>
      <c r="I33" s="149">
        <f t="shared" si="5"/>
        <v>-354532</v>
      </c>
      <c r="J33" s="767">
        <f t="shared" si="2"/>
        <v>-0.1290346907115637</v>
      </c>
      <c r="K33" s="38">
        <f>SUM(K34:K35)</f>
        <v>3752200</v>
      </c>
      <c r="L33" s="771"/>
    </row>
    <row r="34" spans="1:12" ht="12.75" customHeight="1" x14ac:dyDescent="0.25">
      <c r="A34" s="551" t="s">
        <v>1945</v>
      </c>
      <c r="B34" s="90"/>
      <c r="C34" s="379">
        <v>2749113.78</v>
      </c>
      <c r="D34" s="366">
        <f>SC6Q!G27</f>
        <v>0</v>
      </c>
      <c r="E34" s="331">
        <f>SC6Q!I27</f>
        <v>3752200</v>
      </c>
      <c r="F34" s="415">
        <f>SC6Q!L27</f>
        <v>237114.43</v>
      </c>
      <c r="G34" s="331">
        <f>SC6Q!O27</f>
        <v>2393039.2000000002</v>
      </c>
      <c r="H34" s="331">
        <f>SC6Q!Q27</f>
        <v>2747571.2</v>
      </c>
      <c r="I34" s="784"/>
      <c r="J34" s="782"/>
      <c r="K34" s="367">
        <f>SC6Q!S27</f>
        <v>3752200</v>
      </c>
      <c r="L34" s="771"/>
    </row>
    <row r="35" spans="1:12" ht="12.75" customHeight="1" x14ac:dyDescent="0.25">
      <c r="A35" s="552" t="str">
        <f>'SC6'!A36</f>
        <v>Private Enterprises:Other Transfers Private Enterprises:Unspecifie</v>
      </c>
      <c r="B35" s="90"/>
      <c r="C35" s="367">
        <v>52400</v>
      </c>
      <c r="D35" s="366"/>
      <c r="E35" s="331"/>
      <c r="F35" s="331"/>
      <c r="G35" s="331"/>
      <c r="H35" s="415"/>
      <c r="I35" s="763"/>
      <c r="J35" s="781"/>
      <c r="K35" s="415"/>
      <c r="L35" s="771"/>
    </row>
    <row r="36" spans="1:12" ht="12.75" customHeight="1" x14ac:dyDescent="0.25">
      <c r="A36" s="786" t="s">
        <v>43</v>
      </c>
      <c r="B36" s="90"/>
      <c r="C36" s="69">
        <f t="shared" ref="C36:I36" si="9">C8+C16+C31+C33</f>
        <v>554733225.95999992</v>
      </c>
      <c r="D36" s="39">
        <f t="shared" si="9"/>
        <v>587345000</v>
      </c>
      <c r="E36" s="38">
        <f t="shared" si="9"/>
        <v>592697200</v>
      </c>
      <c r="F36" s="38">
        <f t="shared" si="9"/>
        <v>5201523.4799999995</v>
      </c>
      <c r="G36" s="38">
        <f t="shared" si="9"/>
        <v>67970702.590000004</v>
      </c>
      <c r="H36" s="149">
        <f t="shared" si="9"/>
        <v>21979602.48</v>
      </c>
      <c r="I36" s="149">
        <f t="shared" si="9"/>
        <v>45991100.109999999</v>
      </c>
      <c r="J36" s="799">
        <f t="shared" si="2"/>
        <v>2.0924445813726109</v>
      </c>
      <c r="K36" s="717">
        <f>K8+K16+K31+K33</f>
        <v>592697200</v>
      </c>
      <c r="L36" s="771"/>
    </row>
    <row r="37" spans="1:12" ht="5.0999999999999996" customHeight="1" x14ac:dyDescent="0.25">
      <c r="A37" s="32"/>
      <c r="B37" s="90"/>
      <c r="C37" s="74"/>
      <c r="D37" s="36"/>
      <c r="E37" s="34"/>
      <c r="F37" s="34"/>
      <c r="G37" s="34"/>
      <c r="H37" s="148"/>
      <c r="I37" s="34"/>
      <c r="J37" s="189"/>
      <c r="K37" s="35"/>
      <c r="L37" s="771"/>
    </row>
    <row r="38" spans="1:12" ht="12.75" customHeight="1" x14ac:dyDescent="0.25">
      <c r="A38" s="29" t="s">
        <v>44</v>
      </c>
      <c r="B38" s="90"/>
      <c r="C38" s="74"/>
      <c r="D38" s="148"/>
      <c r="E38" s="34"/>
      <c r="F38" s="34"/>
      <c r="G38" s="148"/>
      <c r="H38" s="148"/>
      <c r="I38" s="34"/>
      <c r="J38" s="189"/>
      <c r="K38" s="35"/>
      <c r="L38" s="771"/>
    </row>
    <row r="39" spans="1:12" ht="13.5" customHeight="1" x14ac:dyDescent="0.25">
      <c r="A39" s="542" t="str">
        <f>'SC6'!A40</f>
        <v>National Government:</v>
      </c>
      <c r="B39" s="90"/>
      <c r="C39" s="69">
        <f t="shared" ref="C39:I39" si="10">SUM(C40:C44)</f>
        <v>256039852.34</v>
      </c>
      <c r="D39" s="149">
        <f t="shared" si="10"/>
        <v>218503000</v>
      </c>
      <c r="E39" s="38">
        <f t="shared" si="10"/>
        <v>226375600</v>
      </c>
      <c r="F39" s="149">
        <f t="shared" si="10"/>
        <v>22793360.220000003</v>
      </c>
      <c r="G39" s="38">
        <f t="shared" si="10"/>
        <v>173313019.71000001</v>
      </c>
      <c r="H39" s="38">
        <f t="shared" si="10"/>
        <v>173963692.48000002</v>
      </c>
      <c r="I39" s="34">
        <f t="shared" si="10"/>
        <v>0</v>
      </c>
      <c r="J39" s="529" t="str">
        <f t="shared" ref="J39:J52" si="11">IF(I39=0,"",I39/H39)</f>
        <v/>
      </c>
      <c r="K39" s="96">
        <f>SUM(K40:K44)</f>
        <v>226375600</v>
      </c>
    </row>
    <row r="40" spans="1:12" ht="12.75" customHeight="1" x14ac:dyDescent="0.25">
      <c r="A40" s="551" t="str">
        <f>'SC6'!A41</f>
        <v>Integrated Urban Development Grant</v>
      </c>
      <c r="B40" s="90"/>
      <c r="C40" s="775">
        <v>171252600</v>
      </c>
      <c r="D40" s="800">
        <f>SC6Q!G31</f>
        <v>143923000</v>
      </c>
      <c r="E40" s="800">
        <f>SC6Q!I31</f>
        <v>144863000</v>
      </c>
      <c r="F40" s="800">
        <f>SC6Q!L31</f>
        <v>42759478.990000002</v>
      </c>
      <c r="G40" s="800">
        <f>SC6Q!O31</f>
        <v>117500802.06</v>
      </c>
      <c r="H40" s="800">
        <f>SC6Q!Q31</f>
        <v>76304924.480000004</v>
      </c>
      <c r="I40" s="767"/>
      <c r="J40" s="768"/>
      <c r="K40" s="801">
        <f>SC6Q!S31</f>
        <v>144863000</v>
      </c>
    </row>
    <row r="41" spans="1:12" ht="12.75" customHeight="1" x14ac:dyDescent="0.25">
      <c r="A41" s="551" t="str">
        <f>'SC6'!A42</f>
        <v>Water Service Infrastruture Grant</v>
      </c>
      <c r="B41" s="90"/>
      <c r="C41" s="775">
        <v>52001000</v>
      </c>
      <c r="D41" s="800">
        <f>SC6Q!G32</f>
        <v>60000000</v>
      </c>
      <c r="E41" s="800">
        <f>SC6Q!I32</f>
        <v>60000000</v>
      </c>
      <c r="F41" s="800">
        <f>SC6Q!L32</f>
        <v>-21400000</v>
      </c>
      <c r="G41" s="800">
        <f>SC6Q!O32</f>
        <v>38600000</v>
      </c>
      <c r="H41" s="800">
        <f>SC6Q!Q32</f>
        <v>87000000</v>
      </c>
      <c r="I41" s="767"/>
      <c r="J41" s="768"/>
      <c r="K41" s="801">
        <f>SC6Q!S32</f>
        <v>60000000</v>
      </c>
    </row>
    <row r="42" spans="1:12" ht="12.75" customHeight="1" x14ac:dyDescent="0.25">
      <c r="A42" s="551" t="str">
        <f>'SC6'!A43</f>
        <v>Energy Efficiency  and Demand Management</v>
      </c>
      <c r="B42" s="90"/>
      <c r="C42" s="775">
        <v>4518845.63</v>
      </c>
      <c r="D42" s="800">
        <f>SC6Q!G33</f>
        <v>4730000</v>
      </c>
      <c r="E42" s="800">
        <f>SC6Q!I33</f>
        <v>4730000</v>
      </c>
      <c r="F42" s="800">
        <f>SC6Q!L33</f>
        <v>160662.04999999999</v>
      </c>
      <c r="G42" s="800">
        <f>SC6Q!O33</f>
        <v>1096430.47</v>
      </c>
      <c r="H42" s="800">
        <f>SC6Q!Q33</f>
        <v>260000</v>
      </c>
      <c r="I42" s="767"/>
      <c r="J42" s="768"/>
      <c r="K42" s="801">
        <f>SC6Q!S33</f>
        <v>4730000</v>
      </c>
    </row>
    <row r="43" spans="1:12" ht="12.75" customHeight="1" x14ac:dyDescent="0.25">
      <c r="A43" s="551" t="str">
        <f>'SC6'!A44</f>
        <v>Integrated National Electrification Programme Grant</v>
      </c>
      <c r="B43" s="90"/>
      <c r="C43" s="775">
        <v>13840000</v>
      </c>
      <c r="D43" s="800">
        <f>SC6Q!G34</f>
        <v>9850000</v>
      </c>
      <c r="E43" s="800">
        <f>SC6Q!I34</f>
        <v>9850000</v>
      </c>
      <c r="F43" s="800">
        <f>SC6Q!L34</f>
        <v>1273221</v>
      </c>
      <c r="G43" s="800">
        <f>SC6Q!O34</f>
        <v>9183221</v>
      </c>
      <c r="H43" s="800">
        <f>SC6Q!Q34</f>
        <v>0</v>
      </c>
      <c r="I43" s="767"/>
      <c r="J43" s="767"/>
      <c r="K43" s="801">
        <f>SC6Q!S34</f>
        <v>9850000</v>
      </c>
    </row>
    <row r="44" spans="1:12" ht="12.75" customHeight="1" x14ac:dyDescent="0.25">
      <c r="A44" s="551" t="s">
        <v>1947</v>
      </c>
      <c r="B44" s="90"/>
      <c r="C44" s="379">
        <v>14427406.710000001</v>
      </c>
      <c r="D44" s="809">
        <f>SC6Q!G35</f>
        <v>0</v>
      </c>
      <c r="E44" s="800">
        <f>SC6Q!I35</f>
        <v>6932600</v>
      </c>
      <c r="F44" s="810">
        <f>SC6Q!L35</f>
        <v>-1.82</v>
      </c>
      <c r="G44" s="810">
        <f>SC6Q!O35</f>
        <v>6932566.1799999997</v>
      </c>
      <c r="H44" s="800">
        <f>SC6Q!Q35</f>
        <v>10398768</v>
      </c>
      <c r="I44" s="767"/>
      <c r="J44" s="767"/>
      <c r="K44" s="801">
        <f>SC6Q!S35</f>
        <v>6932600</v>
      </c>
    </row>
    <row r="45" spans="1:12" ht="12.75" customHeight="1" x14ac:dyDescent="0.25">
      <c r="A45" s="542" t="str">
        <f>'SC6'!A47</f>
        <v>Provincial Government:</v>
      </c>
      <c r="B45" s="90"/>
      <c r="C45" s="69">
        <f>SUM(C46:C49)</f>
        <v>67480</v>
      </c>
      <c r="D45" s="39">
        <f t="shared" ref="D45:H45" si="12">SUM(D46:D49)</f>
        <v>500000</v>
      </c>
      <c r="E45" s="38">
        <f t="shared" si="12"/>
        <v>632500</v>
      </c>
      <c r="F45" s="38">
        <f t="shared" si="12"/>
        <v>-123750</v>
      </c>
      <c r="G45" s="38">
        <f t="shared" si="12"/>
        <v>0</v>
      </c>
      <c r="H45" s="38">
        <f t="shared" si="12"/>
        <v>0</v>
      </c>
      <c r="I45" s="784">
        <f t="shared" ref="I45:I52" si="13">G45-H45</f>
        <v>0</v>
      </c>
      <c r="J45" s="767" t="str">
        <f>IF(ISERR(IF(I45=0,"",I45/H45)),"",IF(I45=0,"",I45/H45))</f>
        <v/>
      </c>
      <c r="K45" s="96">
        <f>SUM(K46:K49)</f>
        <v>632500</v>
      </c>
    </row>
    <row r="46" spans="1:12" ht="12.75" customHeight="1" x14ac:dyDescent="0.25">
      <c r="A46" s="551" t="s">
        <v>717</v>
      </c>
      <c r="B46" s="90"/>
      <c r="C46" s="764"/>
      <c r="D46" s="539"/>
      <c r="E46" s="540"/>
      <c r="F46" s="540"/>
      <c r="G46" s="540"/>
      <c r="H46" s="765"/>
      <c r="I46" s="767">
        <f t="shared" si="13"/>
        <v>0</v>
      </c>
      <c r="J46" s="767" t="str">
        <f t="shared" si="11"/>
        <v/>
      </c>
      <c r="K46" s="773"/>
    </row>
    <row r="47" spans="1:12" ht="12.75" customHeight="1" x14ac:dyDescent="0.25">
      <c r="A47" s="551" t="s">
        <v>659</v>
      </c>
      <c r="B47" s="90"/>
      <c r="C47" s="764"/>
      <c r="D47" s="809">
        <f>SC6Q!G42</f>
        <v>0</v>
      </c>
      <c r="E47" s="810">
        <f>SC6Q!I42</f>
        <v>132500</v>
      </c>
      <c r="F47" s="810">
        <f>SC6Q!L42</f>
        <v>0</v>
      </c>
      <c r="G47" s="810">
        <f>SC6Q!O42</f>
        <v>0</v>
      </c>
      <c r="H47" s="800">
        <f>SC6Q!Q42</f>
        <v>0</v>
      </c>
      <c r="I47" s="767"/>
      <c r="J47" s="767"/>
      <c r="K47" s="801">
        <f>SC6Q!S42</f>
        <v>132500</v>
      </c>
    </row>
    <row r="48" spans="1:12" ht="12.75" customHeight="1" x14ac:dyDescent="0.25">
      <c r="A48" s="551" t="s">
        <v>1899</v>
      </c>
      <c r="B48" s="90"/>
      <c r="C48" s="379">
        <v>67480</v>
      </c>
      <c r="D48" s="366"/>
      <c r="E48" s="331"/>
      <c r="F48" s="331"/>
      <c r="G48" s="331"/>
      <c r="H48" s="415"/>
      <c r="I48" s="767">
        <f t="shared" si="13"/>
        <v>0</v>
      </c>
      <c r="J48" s="767" t="str">
        <f>IF(ISERR(IF(I48=0,"",I48/H48)),"",IF(I48=0,"",I48/H48))</f>
        <v/>
      </c>
      <c r="K48" s="332"/>
    </row>
    <row r="49" spans="1:11" ht="12.75" customHeight="1" x14ac:dyDescent="0.25">
      <c r="A49" s="551" t="s">
        <v>1900</v>
      </c>
      <c r="B49" s="90"/>
      <c r="C49" s="379"/>
      <c r="D49" s="809">
        <f>SC6Q!G41</f>
        <v>500000</v>
      </c>
      <c r="E49" s="810">
        <f>SC6Q!I41</f>
        <v>500000</v>
      </c>
      <c r="F49" s="810">
        <f>SC6Q!L41</f>
        <v>-123750</v>
      </c>
      <c r="G49" s="810">
        <f>SC6Q!O41</f>
        <v>0</v>
      </c>
      <c r="H49" s="800">
        <f>SC6Q!Q41</f>
        <v>0</v>
      </c>
      <c r="I49" s="767"/>
      <c r="J49" s="767"/>
      <c r="K49" s="801">
        <f>SC6Q!S41</f>
        <v>500000</v>
      </c>
    </row>
    <row r="50" spans="1:11" ht="12.75" customHeight="1" x14ac:dyDescent="0.25">
      <c r="A50" s="542" t="s">
        <v>553</v>
      </c>
      <c r="B50" s="90"/>
      <c r="C50" s="69">
        <f t="shared" ref="C50:H50" si="14">SUM(C51:C51)</f>
        <v>0</v>
      </c>
      <c r="D50" s="39">
        <f t="shared" si="14"/>
        <v>0</v>
      </c>
      <c r="E50" s="38">
        <f t="shared" si="14"/>
        <v>0</v>
      </c>
      <c r="F50" s="38">
        <f t="shared" si="14"/>
        <v>0</v>
      </c>
      <c r="G50" s="38">
        <f t="shared" si="14"/>
        <v>0</v>
      </c>
      <c r="H50" s="38">
        <f t="shared" si="14"/>
        <v>0</v>
      </c>
      <c r="I50" s="784">
        <f t="shared" si="13"/>
        <v>0</v>
      </c>
      <c r="J50" s="767" t="str">
        <f t="shared" si="11"/>
        <v/>
      </c>
      <c r="K50" s="96">
        <f t="shared" ref="K50" si="15">SUM(K51:K51)</f>
        <v>0</v>
      </c>
    </row>
    <row r="51" spans="1:11" ht="12.75" customHeight="1" x14ac:dyDescent="0.25">
      <c r="A51" s="551"/>
      <c r="B51" s="90"/>
      <c r="C51" s="783"/>
      <c r="D51" s="539"/>
      <c r="E51" s="540"/>
      <c r="F51" s="540"/>
      <c r="G51" s="540"/>
      <c r="H51" s="540"/>
      <c r="I51" s="784">
        <f t="shared" si="13"/>
        <v>0</v>
      </c>
      <c r="J51" s="767" t="str">
        <f t="shared" si="11"/>
        <v/>
      </c>
      <c r="K51" s="773"/>
    </row>
    <row r="52" spans="1:11" ht="12.75" customHeight="1" x14ac:dyDescent="0.25">
      <c r="A52" s="542" t="str">
        <f>'SC6'!A56</f>
        <v>Other grant providers:</v>
      </c>
      <c r="B52" s="90"/>
      <c r="C52" s="69">
        <f>SUM(C53:C54)</f>
        <v>2193606.1800000002</v>
      </c>
      <c r="D52" s="39">
        <f t="shared" ref="D52:H52" si="16">SUM(D53:D54)</f>
        <v>0</v>
      </c>
      <c r="E52" s="38">
        <f t="shared" si="16"/>
        <v>0</v>
      </c>
      <c r="F52" s="38">
        <f t="shared" si="16"/>
        <v>0</v>
      </c>
      <c r="G52" s="38">
        <f t="shared" si="16"/>
        <v>0</v>
      </c>
      <c r="H52" s="38">
        <f t="shared" si="16"/>
        <v>0</v>
      </c>
      <c r="I52" s="784">
        <f t="shared" si="13"/>
        <v>0</v>
      </c>
      <c r="J52" s="767" t="str">
        <f t="shared" si="11"/>
        <v/>
      </c>
      <c r="K52" s="96">
        <f>SUM(K53:K54)</f>
        <v>0</v>
      </c>
    </row>
    <row r="53" spans="1:11" ht="12.75" customHeight="1" x14ac:dyDescent="0.25">
      <c r="A53" s="551" t="s">
        <v>1945</v>
      </c>
      <c r="B53" s="90"/>
      <c r="C53" s="764">
        <v>2193606.1800000002</v>
      </c>
      <c r="D53" s="539"/>
      <c r="E53" s="765"/>
      <c r="F53" s="331"/>
      <c r="G53" s="331"/>
      <c r="H53" s="331"/>
      <c r="I53" s="784"/>
      <c r="J53" s="767"/>
      <c r="K53" s="332"/>
    </row>
    <row r="54" spans="1:11" ht="12.75" customHeight="1" x14ac:dyDescent="0.25">
      <c r="A54" s="551" t="s">
        <v>1989</v>
      </c>
      <c r="B54" s="90"/>
      <c r="C54" s="764"/>
      <c r="D54" s="539">
        <f>SC6Q!G45</f>
        <v>0</v>
      </c>
      <c r="E54" s="540">
        <f>SC6Q!I45</f>
        <v>0</v>
      </c>
      <c r="F54" s="540">
        <f>SC6Q!L45</f>
        <v>0</v>
      </c>
      <c r="G54" s="540">
        <f>SC6Q!O45</f>
        <v>0</v>
      </c>
      <c r="H54" s="765">
        <f>SC6Q!Q45</f>
        <v>0</v>
      </c>
      <c r="I54" s="767"/>
      <c r="J54" s="767"/>
      <c r="K54" s="773">
        <f>SC6Q!S45</f>
        <v>0</v>
      </c>
    </row>
    <row r="55" spans="1:11" ht="12.75" customHeight="1" x14ac:dyDescent="0.25">
      <c r="A55" s="31" t="s">
        <v>45</v>
      </c>
      <c r="B55" s="90"/>
      <c r="C55" s="69">
        <f t="shared" ref="C55:I55" si="17">C39+C45+C50+C52</f>
        <v>258300938.52000001</v>
      </c>
      <c r="D55" s="39">
        <f t="shared" si="17"/>
        <v>219003000</v>
      </c>
      <c r="E55" s="149">
        <f t="shared" si="17"/>
        <v>227008100</v>
      </c>
      <c r="F55" s="38">
        <f t="shared" si="17"/>
        <v>22669610.220000003</v>
      </c>
      <c r="G55" s="38">
        <f t="shared" si="17"/>
        <v>173313019.71000001</v>
      </c>
      <c r="H55" s="149">
        <f t="shared" si="17"/>
        <v>173963692.48000002</v>
      </c>
      <c r="I55" s="38">
        <f t="shared" si="17"/>
        <v>0</v>
      </c>
      <c r="J55" s="767" t="str">
        <f>IF(I55=0,"",I55/H55)</f>
        <v/>
      </c>
      <c r="K55" s="96">
        <f>K39+K45+K50+K52</f>
        <v>227008100</v>
      </c>
    </row>
    <row r="56" spans="1:11" ht="5.0999999999999996" customHeight="1" x14ac:dyDescent="0.25">
      <c r="A56" s="32"/>
      <c r="B56" s="90"/>
      <c r="C56" s="74"/>
      <c r="D56" s="36"/>
      <c r="E56" s="34"/>
      <c r="F56" s="34"/>
      <c r="G56" s="34"/>
      <c r="H56" s="65"/>
      <c r="I56" s="38"/>
      <c r="J56" s="767"/>
      <c r="K56" s="785"/>
    </row>
    <row r="57" spans="1:11" ht="12.75" customHeight="1" x14ac:dyDescent="0.25">
      <c r="A57" s="553" t="s">
        <v>114</v>
      </c>
      <c r="B57" s="490"/>
      <c r="C57" s="71">
        <f t="shared" ref="C57:I57" si="18">C36+C55</f>
        <v>813034164.4799999</v>
      </c>
      <c r="D57" s="42">
        <f t="shared" si="18"/>
        <v>806348000</v>
      </c>
      <c r="E57" s="41">
        <f t="shared" si="18"/>
        <v>819705300</v>
      </c>
      <c r="F57" s="41">
        <f t="shared" si="18"/>
        <v>27871133.700000003</v>
      </c>
      <c r="G57" s="41">
        <f t="shared" si="18"/>
        <v>241283722.30000001</v>
      </c>
      <c r="H57" s="154">
        <f t="shared" si="18"/>
        <v>195943294.96000001</v>
      </c>
      <c r="I57" s="41">
        <f t="shared" si="18"/>
        <v>45991100.109999999</v>
      </c>
      <c r="J57" s="787">
        <f>IF(I57=0,"",I57/H57)</f>
        <v>0.23471637607905213</v>
      </c>
      <c r="K57" s="128">
        <f>K36+K55</f>
        <v>819705300</v>
      </c>
    </row>
    <row r="58" spans="1:11" ht="12.75" customHeight="1" x14ac:dyDescent="0.25">
      <c r="A58" s="64" t="str">
        <f>head27a</f>
        <v>References</v>
      </c>
      <c r="C58" s="316"/>
      <c r="D58" s="316"/>
      <c r="E58" s="316"/>
      <c r="F58" s="316"/>
      <c r="G58" s="316"/>
      <c r="H58" s="711"/>
      <c r="I58" s="316"/>
      <c r="J58" s="711"/>
      <c r="K58" s="316"/>
    </row>
    <row r="59" spans="1:11" ht="12.75" customHeight="1" x14ac:dyDescent="0.25">
      <c r="A59" s="73"/>
    </row>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sheetData>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8" orientation="portrait" r:id="rId1"/>
  <headerFooter alignWithMargins="0">
    <oddFooter>&amp;L&amp;F&amp;C&amp;A&amp;R&amp;D</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sheetPr>
  <dimension ref="A1:G80"/>
  <sheetViews>
    <sheetView showGridLines="0" showZeros="0" zoomScaleNormal="100" workbookViewId="0">
      <pane xSplit="1" ySplit="4" topLeftCell="B5" activePane="bottomRight" state="frozen"/>
      <selection pane="topRight"/>
      <selection pane="bottomLeft"/>
      <selection pane="bottomRight" sqref="A1:G1"/>
    </sheetView>
  </sheetViews>
  <sheetFormatPr defaultColWidth="9.28515625" defaultRowHeight="12.75" x14ac:dyDescent="0.25"/>
  <cols>
    <col min="1" max="1" width="40.7109375" style="21" customWidth="1"/>
    <col min="2" max="2" width="3.5703125" style="47" customWidth="1"/>
    <col min="3" max="3" width="10.7109375" style="21" customWidth="1"/>
    <col min="4" max="7" width="11.7109375" style="21" customWidth="1"/>
    <col min="8" max="8" width="9.7109375" style="21" customWidth="1"/>
    <col min="9" max="9" width="9.5703125" style="21" customWidth="1"/>
    <col min="10" max="10" width="9.7109375" style="21" customWidth="1"/>
    <col min="11" max="13" width="9.5703125" style="21" customWidth="1"/>
    <col min="14" max="14" width="9.7109375" style="21" customWidth="1"/>
    <col min="15" max="17" width="9.5703125" style="21" customWidth="1"/>
    <col min="18" max="19" width="9.7109375" style="21" customWidth="1"/>
    <col min="20" max="16384" width="9.28515625" style="21"/>
  </cols>
  <sheetData>
    <row r="1" spans="1:7" ht="13.5" x14ac:dyDescent="0.25">
      <c r="A1" s="848" t="str">
        <f>muni&amp; " - "&amp;S71T&amp; " - "&amp;Head57</f>
        <v>KZN282 uMhlathuze - Supporting Table SC7(2) Monthly Budget Statement - Expenditure against approved rollovers - M10 April</v>
      </c>
      <c r="B1" s="848"/>
      <c r="C1" s="848"/>
      <c r="D1" s="848"/>
      <c r="E1" s="848"/>
      <c r="F1" s="848"/>
      <c r="G1" s="848"/>
    </row>
    <row r="2" spans="1:7" ht="21.75" customHeight="1" x14ac:dyDescent="0.25">
      <c r="A2" s="837" t="str">
        <f>desc</f>
        <v>Description</v>
      </c>
      <c r="B2" s="830" t="str">
        <f>head27</f>
        <v>Ref</v>
      </c>
      <c r="C2" s="832" t="str">
        <f>Head2</f>
        <v>Budget Year 2024/25</v>
      </c>
      <c r="D2" s="833"/>
      <c r="E2" s="833"/>
      <c r="F2" s="833"/>
      <c r="G2" s="834"/>
    </row>
    <row r="3" spans="1:7" ht="39.75" customHeight="1" x14ac:dyDescent="0.25">
      <c r="A3" s="838"/>
      <c r="B3" s="841"/>
      <c r="C3" s="100" t="str">
        <f>"Approved Rollover " &amp;Head1</f>
        <v>Approved Rollover 2023/24</v>
      </c>
      <c r="D3" s="76" t="str">
        <f>Head38</f>
        <v>Monthly actual</v>
      </c>
      <c r="E3" s="76" t="str">
        <f>Head39</f>
        <v>YearTD actual</v>
      </c>
      <c r="F3" s="76" t="str">
        <f>Head41</f>
        <v>YTD variance</v>
      </c>
      <c r="G3" s="555" t="str">
        <f>Head41</f>
        <v>YTD variance</v>
      </c>
    </row>
    <row r="4" spans="1:7" x14ac:dyDescent="0.25">
      <c r="A4" s="519" t="s">
        <v>615</v>
      </c>
      <c r="B4" s="141"/>
      <c r="C4" s="521"/>
      <c r="D4" s="523"/>
      <c r="E4" s="556"/>
      <c r="F4" s="523"/>
      <c r="G4" s="557" t="s">
        <v>528</v>
      </c>
    </row>
    <row r="5" spans="1:7" ht="12.75" customHeight="1" x14ac:dyDescent="0.25">
      <c r="A5" s="550" t="s">
        <v>492</v>
      </c>
      <c r="B5" s="543"/>
      <c r="C5" s="36"/>
      <c r="D5" s="34"/>
      <c r="E5" s="34"/>
      <c r="F5" s="34"/>
      <c r="G5" s="190"/>
    </row>
    <row r="6" spans="1:7" ht="5.0999999999999996" customHeight="1" x14ac:dyDescent="0.25">
      <c r="A6" s="29"/>
      <c r="B6" s="90"/>
      <c r="C6" s="36"/>
      <c r="D6" s="34"/>
      <c r="E6" s="34"/>
      <c r="F6" s="34"/>
      <c r="G6" s="190"/>
    </row>
    <row r="7" spans="1:7" ht="12.75" customHeight="1" x14ac:dyDescent="0.25">
      <c r="A7" s="29" t="s">
        <v>1002</v>
      </c>
      <c r="B7" s="90"/>
      <c r="C7" s="36"/>
      <c r="D7" s="34"/>
      <c r="E7" s="34"/>
      <c r="F7" s="34"/>
      <c r="G7" s="190"/>
    </row>
    <row r="8" spans="1:7" ht="14.25" customHeight="1" x14ac:dyDescent="0.25">
      <c r="A8" s="66" t="str">
        <f>'SC6'!A8</f>
        <v>National Government:</v>
      </c>
      <c r="B8" s="90"/>
      <c r="C8" s="39">
        <f>SUM(C9:C15)</f>
        <v>0</v>
      </c>
      <c r="D8" s="38">
        <f>SUM(D9:D15)</f>
        <v>0</v>
      </c>
      <c r="E8" s="38">
        <f>SUM(E9:E15)</f>
        <v>0</v>
      </c>
      <c r="F8" s="38">
        <f>C8-E8</f>
        <v>0</v>
      </c>
      <c r="G8" s="558" t="str">
        <f>IF(F8=0,"",F8/C8)</f>
        <v/>
      </c>
    </row>
    <row r="9" spans="1:7" x14ac:dyDescent="0.25">
      <c r="A9" s="551" t="str">
        <f>'SC6'!A9</f>
        <v>Local Government Equitable Share</v>
      </c>
      <c r="B9" s="90"/>
      <c r="C9" s="531"/>
      <c r="D9" s="532"/>
      <c r="E9" s="532"/>
      <c r="F9" s="328">
        <f>C9-E9</f>
        <v>0</v>
      </c>
      <c r="G9" s="559" t="str">
        <f t="shared" ref="G9:G49" si="0">IF(F9=0,"",F9/C9)</f>
        <v/>
      </c>
    </row>
    <row r="10" spans="1:7" ht="12.75" customHeight="1" x14ac:dyDescent="0.25">
      <c r="A10" s="551" t="str">
        <f>'SC6'!A10</f>
        <v>Finance Management</v>
      </c>
      <c r="B10" s="90"/>
      <c r="C10" s="366"/>
      <c r="D10" s="331"/>
      <c r="E10" s="331"/>
      <c r="F10" s="34">
        <f t="shared" ref="F10:F15" si="1">C10-E10</f>
        <v>0</v>
      </c>
      <c r="G10" s="190" t="str">
        <f t="shared" si="0"/>
        <v/>
      </c>
    </row>
    <row r="11" spans="1:7" ht="12.75" customHeight="1" x14ac:dyDescent="0.25">
      <c r="A11" s="551" t="str">
        <f>'SC6'!A11</f>
        <v>EPWP Incentive</v>
      </c>
      <c r="B11" s="90"/>
      <c r="C11" s="366"/>
      <c r="D11" s="331"/>
      <c r="E11" s="331"/>
      <c r="F11" s="34">
        <f t="shared" si="1"/>
        <v>0</v>
      </c>
      <c r="G11" s="190" t="str">
        <f t="shared" si="0"/>
        <v/>
      </c>
    </row>
    <row r="12" spans="1:7" ht="12.75" customHeight="1" x14ac:dyDescent="0.25">
      <c r="A12" s="551" t="str">
        <f>'SC6'!A12</f>
        <v>Project Management Unit</v>
      </c>
      <c r="B12" s="90"/>
      <c r="C12" s="366"/>
      <c r="D12" s="331"/>
      <c r="E12" s="331"/>
      <c r="F12" s="34">
        <f t="shared" si="1"/>
        <v>0</v>
      </c>
      <c r="G12" s="190" t="str">
        <f t="shared" si="0"/>
        <v/>
      </c>
    </row>
    <row r="13" spans="1:7" ht="12.75" customHeight="1" x14ac:dyDescent="0.25">
      <c r="A13" s="551" t="str">
        <f>'SC6'!A13</f>
        <v>Energy Efficient and Demand Management</v>
      </c>
      <c r="B13" s="90"/>
      <c r="C13" s="366"/>
      <c r="D13" s="331"/>
      <c r="E13" s="331"/>
      <c r="F13" s="34">
        <f t="shared" si="1"/>
        <v>0</v>
      </c>
      <c r="G13" s="190" t="str">
        <f t="shared" si="0"/>
        <v/>
      </c>
    </row>
    <row r="14" spans="1:7" ht="12.75" customHeight="1" x14ac:dyDescent="0.25">
      <c r="A14" s="551" t="str">
        <f>'SC6'!A14</f>
        <v>Municipal Disaster Recovery Grant</v>
      </c>
      <c r="B14" s="90"/>
      <c r="C14" s="769"/>
      <c r="D14" s="770">
        <f>SC6Q!L10</f>
        <v>0</v>
      </c>
      <c r="E14" s="770">
        <f>SC6Q!O10</f>
        <v>0</v>
      </c>
      <c r="F14" s="34">
        <f t="shared" si="1"/>
        <v>0</v>
      </c>
      <c r="G14" s="190" t="str">
        <f>IF(F14=0,"",F14/C14)</f>
        <v/>
      </c>
    </row>
    <row r="15" spans="1:7" ht="12.75" customHeight="1" x14ac:dyDescent="0.25">
      <c r="A15" s="551" t="str">
        <f>'SC6'!A15</f>
        <v>Other transfers and grants [insert description]</v>
      </c>
      <c r="B15" s="90"/>
      <c r="C15" s="366"/>
      <c r="D15" s="331"/>
      <c r="E15" s="331"/>
      <c r="F15" s="34">
        <f t="shared" si="1"/>
        <v>0</v>
      </c>
      <c r="G15" s="190" t="str">
        <f t="shared" si="0"/>
        <v/>
      </c>
    </row>
    <row r="16" spans="1:7" ht="12.75" customHeight="1" x14ac:dyDescent="0.25">
      <c r="A16" s="542" t="str">
        <f>'SC6'!A16</f>
        <v>Provincial Government:</v>
      </c>
      <c r="B16" s="90"/>
      <c r="C16" s="207">
        <f>SUM(C17:C21)</f>
        <v>0</v>
      </c>
      <c r="D16" s="200">
        <f>SUM(D17:D21)</f>
        <v>0</v>
      </c>
      <c r="E16" s="200">
        <f>SUM(E17:E21)</f>
        <v>0</v>
      </c>
      <c r="F16" s="200">
        <f t="shared" ref="F16:F27" si="2">C16-E16</f>
        <v>0</v>
      </c>
      <c r="G16" s="560" t="str">
        <f t="shared" si="0"/>
        <v/>
      </c>
    </row>
    <row r="17" spans="1:7" ht="12.75" customHeight="1" x14ac:dyDescent="0.25">
      <c r="A17" s="551" t="str">
        <f>'SC6'!A22</f>
        <v>Richards Bay Airport Feasibility Study</v>
      </c>
      <c r="B17" s="90"/>
      <c r="C17" s="531"/>
      <c r="D17" s="532"/>
      <c r="E17" s="532"/>
      <c r="F17" s="328">
        <f t="shared" si="2"/>
        <v>0</v>
      </c>
      <c r="G17" s="559" t="str">
        <f t="shared" si="0"/>
        <v/>
      </c>
    </row>
    <row r="18" spans="1:7" ht="12.75" customHeight="1" x14ac:dyDescent="0.25">
      <c r="A18" s="551" t="str">
        <f>'SC6'!A26</f>
        <v>Municipal Disaster Recovery Grant</v>
      </c>
      <c r="B18" s="90"/>
      <c r="C18" s="366"/>
      <c r="D18" s="331"/>
      <c r="E18" s="331"/>
      <c r="F18" s="34">
        <f t="shared" si="2"/>
        <v>0</v>
      </c>
      <c r="G18" s="190" t="str">
        <f t="shared" si="0"/>
        <v/>
      </c>
    </row>
    <row r="19" spans="1:7" ht="12.75" customHeight="1" x14ac:dyDescent="0.25">
      <c r="A19" s="551" t="str">
        <f>'SC6'!A24</f>
        <v>Enhanced Extended Discount Benefit Scheme</v>
      </c>
      <c r="B19" s="90"/>
      <c r="C19" s="366"/>
      <c r="D19" s="331"/>
      <c r="E19" s="331"/>
      <c r="F19" s="34">
        <f t="shared" si="2"/>
        <v>0</v>
      </c>
      <c r="G19" s="190" t="str">
        <f t="shared" si="0"/>
        <v/>
      </c>
    </row>
    <row r="20" spans="1:7" ht="12.75" customHeight="1" x14ac:dyDescent="0.25">
      <c r="A20" s="551" t="str">
        <f>'SC6'!A25</f>
        <v>Hostels</v>
      </c>
      <c r="B20" s="90"/>
      <c r="C20" s="366"/>
      <c r="D20" s="331"/>
      <c r="E20" s="331"/>
      <c r="F20" s="34">
        <f t="shared" si="2"/>
        <v>0</v>
      </c>
      <c r="G20" s="190" t="str">
        <f t="shared" si="0"/>
        <v/>
      </c>
    </row>
    <row r="21" spans="1:7" ht="12.75" customHeight="1" x14ac:dyDescent="0.25">
      <c r="A21" s="551" t="str">
        <f>'SC6'!A30</f>
        <v>Other transfers and grants [insert description]</v>
      </c>
      <c r="B21" s="90"/>
      <c r="C21" s="366"/>
      <c r="D21" s="331"/>
      <c r="E21" s="331"/>
      <c r="F21" s="34">
        <f t="shared" si="2"/>
        <v>0</v>
      </c>
      <c r="G21" s="190" t="str">
        <f t="shared" si="0"/>
        <v/>
      </c>
    </row>
    <row r="22" spans="1:7" ht="12.75" customHeight="1" x14ac:dyDescent="0.25">
      <c r="A22" s="542" t="str">
        <f>'SC6'!A31</f>
        <v>District Municipality:</v>
      </c>
      <c r="B22" s="90"/>
      <c r="C22" s="207">
        <f>SUM(C23:C24)</f>
        <v>0</v>
      </c>
      <c r="D22" s="200">
        <f>SUM(D23:D24)</f>
        <v>0</v>
      </c>
      <c r="E22" s="200">
        <f>SUM(E23:E24)</f>
        <v>0</v>
      </c>
      <c r="F22" s="328">
        <f t="shared" si="2"/>
        <v>0</v>
      </c>
      <c r="G22" s="559" t="str">
        <f t="shared" si="0"/>
        <v/>
      </c>
    </row>
    <row r="23" spans="1:7" ht="12.75" customHeight="1" x14ac:dyDescent="0.25">
      <c r="A23" s="542"/>
      <c r="B23" s="90"/>
      <c r="C23" s="536"/>
      <c r="D23" s="537"/>
      <c r="E23" s="537"/>
      <c r="F23" s="328">
        <f t="shared" si="2"/>
        <v>0</v>
      </c>
      <c r="G23" s="559" t="str">
        <f t="shared" si="0"/>
        <v/>
      </c>
    </row>
    <row r="24" spans="1:7" ht="12.75" customHeight="1" x14ac:dyDescent="0.25">
      <c r="A24" s="552" t="str">
        <f>'SC6'!A32</f>
        <v>[insert description]</v>
      </c>
      <c r="B24" s="90"/>
      <c r="C24" s="366"/>
      <c r="D24" s="331"/>
      <c r="E24" s="331"/>
      <c r="F24" s="34">
        <f t="shared" si="2"/>
        <v>0</v>
      </c>
      <c r="G24" s="190" t="str">
        <f t="shared" si="0"/>
        <v/>
      </c>
    </row>
    <row r="25" spans="1:7" ht="12.75" customHeight="1" x14ac:dyDescent="0.25">
      <c r="A25" s="542" t="str">
        <f>'SC6'!A33</f>
        <v>Other grant providers:</v>
      </c>
      <c r="B25" s="90"/>
      <c r="C25" s="207">
        <f>SUM(C26:C27)</f>
        <v>0</v>
      </c>
      <c r="D25" s="200">
        <f>SUM(D26:D27)</f>
        <v>0</v>
      </c>
      <c r="E25" s="200">
        <f>SUM(E26:E27)</f>
        <v>0</v>
      </c>
      <c r="F25" s="328">
        <f t="shared" si="2"/>
        <v>0</v>
      </c>
      <c r="G25" s="559" t="str">
        <f t="shared" si="0"/>
        <v/>
      </c>
    </row>
    <row r="26" spans="1:7" ht="12.75" customHeight="1" x14ac:dyDescent="0.25">
      <c r="A26" s="542"/>
      <c r="B26" s="90"/>
      <c r="C26" s="536"/>
      <c r="D26" s="537"/>
      <c r="E26" s="537"/>
      <c r="F26" s="328">
        <f t="shared" si="2"/>
        <v>0</v>
      </c>
      <c r="G26" s="559" t="str">
        <f t="shared" si="0"/>
        <v/>
      </c>
    </row>
    <row r="27" spans="1:7" ht="12.75" customHeight="1" x14ac:dyDescent="0.25">
      <c r="A27" s="552" t="str">
        <f>'SC6'!A36</f>
        <v>Private Enterprises:Other Transfers Private Enterprises:Unspecifie</v>
      </c>
      <c r="B27" s="90"/>
      <c r="C27" s="366"/>
      <c r="D27" s="331"/>
      <c r="E27" s="331"/>
      <c r="F27" s="34">
        <f t="shared" si="2"/>
        <v>0</v>
      </c>
      <c r="G27" s="190" t="str">
        <f t="shared" si="0"/>
        <v/>
      </c>
    </row>
    <row r="28" spans="1:7" ht="12.75" customHeight="1" x14ac:dyDescent="0.25">
      <c r="A28" s="541" t="s">
        <v>1003</v>
      </c>
      <c r="B28" s="127"/>
      <c r="C28" s="53">
        <f>C8+C16+C22+C25</f>
        <v>0</v>
      </c>
      <c r="D28" s="52">
        <f>D8+D16+D22+D25</f>
        <v>0</v>
      </c>
      <c r="E28" s="52">
        <f>E8+E16+E22+E25</f>
        <v>0</v>
      </c>
      <c r="F28" s="52">
        <f>F8+F16+F22+F25</f>
        <v>0</v>
      </c>
      <c r="G28" s="561" t="str">
        <f t="shared" si="0"/>
        <v/>
      </c>
    </row>
    <row r="29" spans="1:7" ht="5.0999999999999996" customHeight="1" x14ac:dyDescent="0.25">
      <c r="A29" s="32"/>
      <c r="B29" s="90"/>
      <c r="C29" s="36"/>
      <c r="D29" s="34"/>
      <c r="E29" s="34"/>
      <c r="F29" s="34"/>
      <c r="G29" s="190" t="str">
        <f t="shared" si="0"/>
        <v/>
      </c>
    </row>
    <row r="30" spans="1:7" ht="12.75" customHeight="1" x14ac:dyDescent="0.25">
      <c r="A30" s="29" t="s">
        <v>1004</v>
      </c>
      <c r="B30" s="90"/>
      <c r="C30" s="36"/>
      <c r="D30" s="34"/>
      <c r="E30" s="34"/>
      <c r="F30" s="34"/>
      <c r="G30" s="190" t="str">
        <f t="shared" si="0"/>
        <v/>
      </c>
    </row>
    <row r="31" spans="1:7" ht="13.5" customHeight="1" x14ac:dyDescent="0.25">
      <c r="A31" s="542" t="str">
        <f>'SC6'!A40</f>
        <v>National Government:</v>
      </c>
      <c r="B31" s="90"/>
      <c r="C31" s="36">
        <f>SUM(C32:C37)</f>
        <v>0</v>
      </c>
      <c r="D31" s="34">
        <f>SUM(D32:D37)</f>
        <v>1273221</v>
      </c>
      <c r="E31" s="34">
        <f>SUM(E32:E37)</f>
        <v>6932566.1799999997</v>
      </c>
      <c r="F31" s="34">
        <f>SUM(F32:F37)</f>
        <v>-6932566.1799999997</v>
      </c>
      <c r="G31" s="558" t="e">
        <f t="shared" si="0"/>
        <v>#DIV/0!</v>
      </c>
    </row>
    <row r="32" spans="1:7" ht="12.75" customHeight="1" x14ac:dyDescent="0.25">
      <c r="A32" s="551" t="str">
        <f>'SC6'!A41</f>
        <v>Integrated Urban Development Grant</v>
      </c>
      <c r="B32" s="90"/>
      <c r="C32" s="531"/>
      <c r="D32" s="532"/>
      <c r="E32" s="532"/>
      <c r="F32" s="328">
        <f t="shared" ref="F32:F38" si="3">C32-E32</f>
        <v>0</v>
      </c>
      <c r="G32" s="559" t="str">
        <f t="shared" si="0"/>
        <v/>
      </c>
    </row>
    <row r="33" spans="1:7" ht="12.75" customHeight="1" x14ac:dyDescent="0.25">
      <c r="A33" s="551" t="str">
        <f>'SC6'!A42</f>
        <v>Water Service Infrastruture Grant</v>
      </c>
      <c r="B33" s="90"/>
      <c r="C33" s="366"/>
      <c r="D33" s="331"/>
      <c r="E33" s="331"/>
      <c r="F33" s="34">
        <f t="shared" si="3"/>
        <v>0</v>
      </c>
      <c r="G33" s="190" t="str">
        <f t="shared" si="0"/>
        <v/>
      </c>
    </row>
    <row r="34" spans="1:7" ht="12.75" customHeight="1" x14ac:dyDescent="0.25">
      <c r="A34" s="551" t="str">
        <f>'SC6'!A43</f>
        <v>Energy Efficiency  and Demand Management</v>
      </c>
      <c r="B34" s="90"/>
      <c r="C34" s="366"/>
      <c r="D34" s="331"/>
      <c r="E34" s="331"/>
      <c r="F34" s="34">
        <f t="shared" si="3"/>
        <v>0</v>
      </c>
      <c r="G34" s="190" t="str">
        <f t="shared" si="0"/>
        <v/>
      </c>
    </row>
    <row r="35" spans="1:7" ht="12.75" customHeight="1" x14ac:dyDescent="0.25">
      <c r="A35" s="551" t="str">
        <f>'SC6'!A44</f>
        <v>Integrated National Electrification Programme Grant</v>
      </c>
      <c r="B35" s="90"/>
      <c r="C35" s="366"/>
      <c r="D35" s="331"/>
      <c r="E35" s="331"/>
      <c r="F35" s="34">
        <f t="shared" si="3"/>
        <v>0</v>
      </c>
      <c r="G35" s="190" t="str">
        <f t="shared" si="0"/>
        <v/>
      </c>
    </row>
    <row r="36" spans="1:7" ht="12.75" customHeight="1" x14ac:dyDescent="0.25">
      <c r="A36" s="759" t="s">
        <v>1947</v>
      </c>
      <c r="B36" s="90"/>
      <c r="C36" s="769"/>
      <c r="D36" s="770">
        <f>SC6Q!L34</f>
        <v>1273221</v>
      </c>
      <c r="E36" s="770">
        <f>SC6Q!O35</f>
        <v>6932566.1799999997</v>
      </c>
      <c r="F36" s="34">
        <f t="shared" si="3"/>
        <v>-6932566.1799999997</v>
      </c>
      <c r="G36" s="190" t="e">
        <f>IF(F36=0,"",F36/C36)</f>
        <v>#DIV/0!</v>
      </c>
    </row>
    <row r="37" spans="1:7" ht="12.75" customHeight="1" x14ac:dyDescent="0.25">
      <c r="A37" s="551" t="s">
        <v>1990</v>
      </c>
      <c r="B37" s="90"/>
      <c r="C37" s="366"/>
      <c r="D37" s="331"/>
      <c r="E37" s="331"/>
      <c r="F37" s="34">
        <f t="shared" si="3"/>
        <v>0</v>
      </c>
      <c r="G37" s="190" t="str">
        <f t="shared" si="0"/>
        <v/>
      </c>
    </row>
    <row r="38" spans="1:7" ht="12.75" customHeight="1" x14ac:dyDescent="0.25">
      <c r="A38" s="542" t="str">
        <f>'SC6'!A47</f>
        <v>Provincial Government:</v>
      </c>
      <c r="B38" s="90"/>
      <c r="C38" s="207">
        <f>SUM(C39:C40)</f>
        <v>0</v>
      </c>
      <c r="D38" s="200">
        <f>SUM(D39:D40)</f>
        <v>0</v>
      </c>
      <c r="E38" s="200">
        <f>SUM(E39:E40)</f>
        <v>0</v>
      </c>
      <c r="F38" s="328">
        <f t="shared" si="3"/>
        <v>0</v>
      </c>
      <c r="G38" s="559" t="str">
        <f t="shared" si="0"/>
        <v/>
      </c>
    </row>
    <row r="39" spans="1:7" ht="12.75" customHeight="1" x14ac:dyDescent="0.25">
      <c r="A39" s="542"/>
      <c r="B39" s="90"/>
      <c r="C39" s="536"/>
      <c r="D39" s="537"/>
      <c r="E39" s="537"/>
      <c r="F39" s="328">
        <f t="shared" ref="F39:F46" si="4">C39-E39</f>
        <v>0</v>
      </c>
      <c r="G39" s="559" t="str">
        <f t="shared" si="0"/>
        <v/>
      </c>
    </row>
    <row r="40" spans="1:7" ht="12.75" customHeight="1" x14ac:dyDescent="0.25">
      <c r="A40" s="551"/>
      <c r="B40" s="90"/>
      <c r="C40" s="366"/>
      <c r="D40" s="331"/>
      <c r="E40" s="331"/>
      <c r="F40" s="34">
        <f t="shared" si="4"/>
        <v>0</v>
      </c>
      <c r="G40" s="190" t="str">
        <f t="shared" si="0"/>
        <v/>
      </c>
    </row>
    <row r="41" spans="1:7" ht="12.75" customHeight="1" x14ac:dyDescent="0.25">
      <c r="A41" s="542" t="str">
        <f>'SC6'!A53</f>
        <v>District Municipality:</v>
      </c>
      <c r="B41" s="90"/>
      <c r="C41" s="207">
        <f>SUM(C42:C43)</f>
        <v>0</v>
      </c>
      <c r="D41" s="200">
        <f>SUM(D42:D43)</f>
        <v>0</v>
      </c>
      <c r="E41" s="200">
        <f>SUM(E42:E43)</f>
        <v>0</v>
      </c>
      <c r="F41" s="328">
        <f t="shared" si="4"/>
        <v>0</v>
      </c>
      <c r="G41" s="559" t="str">
        <f t="shared" si="0"/>
        <v/>
      </c>
    </row>
    <row r="42" spans="1:7" ht="12.75" customHeight="1" x14ac:dyDescent="0.25">
      <c r="A42" s="542"/>
      <c r="B42" s="90"/>
      <c r="C42" s="536"/>
      <c r="D42" s="537"/>
      <c r="E42" s="537"/>
      <c r="F42" s="328">
        <f t="shared" si="4"/>
        <v>0</v>
      </c>
      <c r="G42" s="559" t="str">
        <f t="shared" si="0"/>
        <v/>
      </c>
    </row>
    <row r="43" spans="1:7" ht="12.75" customHeight="1" x14ac:dyDescent="0.25">
      <c r="A43" s="552">
        <f>'SC6'!A55</f>
        <v>0</v>
      </c>
      <c r="B43" s="90"/>
      <c r="C43" s="366"/>
      <c r="D43" s="331"/>
      <c r="E43" s="331"/>
      <c r="F43" s="34">
        <f t="shared" si="4"/>
        <v>0</v>
      </c>
      <c r="G43" s="190" t="str">
        <f t="shared" si="0"/>
        <v/>
      </c>
    </row>
    <row r="44" spans="1:7" ht="12.75" customHeight="1" x14ac:dyDescent="0.25">
      <c r="A44" s="542" t="str">
        <f>'SC6'!A56</f>
        <v>Other grant providers:</v>
      </c>
      <c r="B44" s="90"/>
      <c r="C44" s="207">
        <f>SUM(C45:C46)</f>
        <v>0</v>
      </c>
      <c r="D44" s="200">
        <f>SUM(D45:D46)</f>
        <v>0</v>
      </c>
      <c r="E44" s="200">
        <f>SUM(E45:E46)</f>
        <v>0</v>
      </c>
      <c r="F44" s="328">
        <f t="shared" si="4"/>
        <v>0</v>
      </c>
      <c r="G44" s="559" t="str">
        <f t="shared" si="0"/>
        <v/>
      </c>
    </row>
    <row r="45" spans="1:7" ht="12.75" customHeight="1" x14ac:dyDescent="0.25">
      <c r="A45" s="542"/>
      <c r="B45" s="90"/>
      <c r="C45" s="536"/>
      <c r="D45" s="537"/>
      <c r="E45" s="537"/>
      <c r="F45" s="328">
        <f t="shared" si="4"/>
        <v>0</v>
      </c>
      <c r="G45" s="559" t="str">
        <f t="shared" si="0"/>
        <v/>
      </c>
    </row>
    <row r="46" spans="1:7" ht="12.75" customHeight="1" x14ac:dyDescent="0.25">
      <c r="A46" s="552"/>
      <c r="B46" s="90"/>
      <c r="C46" s="366"/>
      <c r="D46" s="331"/>
      <c r="E46" s="331"/>
      <c r="F46" s="34">
        <f t="shared" si="4"/>
        <v>0</v>
      </c>
      <c r="G46" s="190" t="str">
        <f t="shared" si="0"/>
        <v/>
      </c>
    </row>
    <row r="47" spans="1:7" ht="12.75" customHeight="1" x14ac:dyDescent="0.25">
      <c r="A47" s="406" t="s">
        <v>1005</v>
      </c>
      <c r="B47" s="127"/>
      <c r="C47" s="53">
        <f>C31+C38+C41+C44</f>
        <v>0</v>
      </c>
      <c r="D47" s="52">
        <f>D31+D38+D41+D44</f>
        <v>1273221</v>
      </c>
      <c r="E47" s="52">
        <f>E31+E38+E41+E44</f>
        <v>6932566.1799999997</v>
      </c>
      <c r="F47" s="52">
        <f>F31+F38+F41+F44</f>
        <v>-6932566.1799999997</v>
      </c>
      <c r="G47" s="561" t="e">
        <f t="shared" si="0"/>
        <v>#DIV/0!</v>
      </c>
    </row>
    <row r="48" spans="1:7" ht="5.0999999999999996" customHeight="1" x14ac:dyDescent="0.25">
      <c r="A48" s="32"/>
      <c r="B48" s="90"/>
      <c r="C48" s="36"/>
      <c r="D48" s="34"/>
      <c r="E48" s="34"/>
      <c r="F48" s="34"/>
      <c r="G48" s="190"/>
    </row>
    <row r="49" spans="1:7" ht="12.75" customHeight="1" x14ac:dyDescent="0.25">
      <c r="A49" s="553" t="s">
        <v>1006</v>
      </c>
      <c r="B49" s="490"/>
      <c r="C49" s="42">
        <f>C28+C47</f>
        <v>0</v>
      </c>
      <c r="D49" s="41">
        <f>D28+D47</f>
        <v>1273221</v>
      </c>
      <c r="E49" s="41">
        <f>E28+E47</f>
        <v>6932566.1799999997</v>
      </c>
      <c r="F49" s="41">
        <f>F28+F47</f>
        <v>-6932566.1799999997</v>
      </c>
      <c r="G49" s="562" t="e">
        <f t="shared" si="0"/>
        <v>#DIV/0!</v>
      </c>
    </row>
    <row r="50" spans="1:7" ht="12.75" customHeight="1" x14ac:dyDescent="0.25">
      <c r="A50" s="64" t="str">
        <f>head27a</f>
        <v>References</v>
      </c>
      <c r="C50" s="316"/>
      <c r="D50" s="316"/>
      <c r="E50" s="316"/>
      <c r="F50" s="316"/>
      <c r="G50" s="316"/>
    </row>
    <row r="51" spans="1:7" ht="12.75" customHeight="1" x14ac:dyDescent="0.25">
      <c r="A51" s="73"/>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4">
    <mergeCell ref="A1:G1"/>
    <mergeCell ref="A2:A3"/>
    <mergeCell ref="B2:B3"/>
    <mergeCell ref="C2:G2"/>
  </mergeCells>
  <printOptions horizontalCentered="1"/>
  <pageMargins left="0.35433070866141736" right="0.15748031496062992" top="0.78740157480314965" bottom="0.59055118110236227" header="0.51181102362204722" footer="0.51181102362204722"/>
  <pageSetup paperSize="8" scale="130" orientation="portrait" r:id="rId1"/>
  <headerFooter alignWithMargins="0">
    <oddFooter>&amp;L&amp;F&amp;C&amp;A&amp;R&amp;D</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K211"/>
  <sheetViews>
    <sheetView showGridLines="0" zoomScaleNormal="10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38.7109375" style="21" customWidth="1"/>
    <col min="2" max="2" width="3.5703125" style="47" customWidth="1"/>
    <col min="3" max="8" width="8.7109375" style="21" customWidth="1"/>
    <col min="9" max="9" width="8.28515625" style="21" bestFit="1" customWidth="1"/>
    <col min="10"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ht="13.5" x14ac:dyDescent="0.25">
      <c r="A1" s="848" t="str">
        <f>muni&amp; " - "&amp;S71N&amp; " - "&amp;Head57</f>
        <v>KZN282 uMhlathuze - Supporting Table SC8 Monthly Budget Statement - councillor and staff benefits  - M10 April</v>
      </c>
      <c r="B1" s="848"/>
      <c r="C1" s="848"/>
      <c r="D1" s="848"/>
      <c r="E1" s="848"/>
      <c r="F1" s="848"/>
      <c r="G1" s="848"/>
      <c r="H1" s="848"/>
      <c r="I1" s="848"/>
      <c r="J1" s="848"/>
      <c r="K1" s="848"/>
    </row>
    <row r="2" spans="1:11" x14ac:dyDescent="0.25">
      <c r="A2" s="837" t="s">
        <v>599</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00"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519" t="s">
        <v>615</v>
      </c>
      <c r="B4" s="141"/>
      <c r="C4" s="520"/>
      <c r="D4" s="521"/>
      <c r="E4" s="522"/>
      <c r="F4" s="523"/>
      <c r="G4" s="523"/>
      <c r="H4" s="523"/>
      <c r="I4" s="523"/>
      <c r="J4" s="524" t="s">
        <v>528</v>
      </c>
      <c r="K4" s="525"/>
    </row>
    <row r="5" spans="1:11" ht="12.75" customHeight="1" x14ac:dyDescent="0.25">
      <c r="A5" s="563"/>
      <c r="B5" s="130">
        <v>1</v>
      </c>
      <c r="C5" s="564" t="s">
        <v>532</v>
      </c>
      <c r="D5" s="565" t="s">
        <v>493</v>
      </c>
      <c r="E5" s="566" t="s">
        <v>433</v>
      </c>
      <c r="F5" s="567"/>
      <c r="G5" s="567"/>
      <c r="H5" s="567"/>
      <c r="I5" s="567"/>
      <c r="J5" s="567"/>
      <c r="K5" s="568" t="s">
        <v>555</v>
      </c>
    </row>
    <row r="6" spans="1:11" ht="12.75" customHeight="1" x14ac:dyDescent="0.25">
      <c r="A6" s="569" t="s">
        <v>387</v>
      </c>
      <c r="B6" s="90"/>
      <c r="C6" s="354"/>
      <c r="D6" s="419"/>
      <c r="E6" s="413"/>
      <c r="F6" s="413"/>
      <c r="G6" s="413"/>
      <c r="H6" s="413"/>
      <c r="I6" s="413"/>
      <c r="J6" s="696"/>
      <c r="K6" s="353"/>
    </row>
    <row r="7" spans="1:11" ht="12.75" customHeight="1" x14ac:dyDescent="0.25">
      <c r="A7" s="30" t="s">
        <v>445</v>
      </c>
      <c r="B7" s="90"/>
      <c r="C7" s="366">
        <f>SC8Q!B4</f>
        <v>21860374.539999999</v>
      </c>
      <c r="D7" s="366">
        <f>SC8Q!C4</f>
        <v>24655400</v>
      </c>
      <c r="E7" s="331">
        <f>SC8Q!D4</f>
        <v>28361700</v>
      </c>
      <c r="F7" s="331">
        <f>SC8Q!E4</f>
        <v>1985316.46</v>
      </c>
      <c r="G7" s="331">
        <f>SC8Q!F4</f>
        <v>20301734.649999999</v>
      </c>
      <c r="H7" s="331">
        <f>SC8Q!G4</f>
        <v>22102008.300000001</v>
      </c>
      <c r="I7" s="413">
        <f t="shared" ref="I7:I54" si="0">G7-H7</f>
        <v>-1800273.6500000022</v>
      </c>
      <c r="J7" s="413">
        <f t="shared" ref="J7:J21" si="1">IF(I7=0,"",I7/H7)</f>
        <v>-8.1452944255749019E-2</v>
      </c>
      <c r="K7" s="367">
        <f>SC8Q!J4</f>
        <v>28361700</v>
      </c>
    </row>
    <row r="8" spans="1:11" ht="12.75" customHeight="1" x14ac:dyDescent="0.25">
      <c r="A8" s="30" t="s">
        <v>955</v>
      </c>
      <c r="B8" s="90"/>
      <c r="C8" s="366">
        <f>SC8Q!B5</f>
        <v>3061896.76</v>
      </c>
      <c r="D8" s="366">
        <f>SC8Q!C5</f>
        <v>3455100</v>
      </c>
      <c r="E8" s="331">
        <f>SC8Q!D5</f>
        <v>3953300</v>
      </c>
      <c r="F8" s="331">
        <f>SC8Q!E5</f>
        <v>280055.12</v>
      </c>
      <c r="G8" s="331">
        <f>SC8Q!F5</f>
        <v>2859867.51</v>
      </c>
      <c r="H8" s="331">
        <f>SC8Q!G5</f>
        <v>3089721.93</v>
      </c>
      <c r="I8" s="413">
        <f t="shared" si="0"/>
        <v>-229854.42000000039</v>
      </c>
      <c r="J8" s="413">
        <f t="shared" si="1"/>
        <v>-7.4393238358508321E-2</v>
      </c>
      <c r="K8" s="367">
        <f>SC8Q!J5</f>
        <v>3953300</v>
      </c>
    </row>
    <row r="9" spans="1:11" ht="12.75" customHeight="1" x14ac:dyDescent="0.25">
      <c r="A9" s="30" t="s">
        <v>388</v>
      </c>
      <c r="B9" s="90"/>
      <c r="C9" s="366">
        <f>SC8Q!B6</f>
        <v>849637.01</v>
      </c>
      <c r="D9" s="366">
        <f>SC8Q!C6</f>
        <v>1228000</v>
      </c>
      <c r="E9" s="331">
        <f>SC8Q!D6</f>
        <v>1102400</v>
      </c>
      <c r="F9" s="331">
        <f>SC8Q!E6</f>
        <v>83473.83</v>
      </c>
      <c r="G9" s="331">
        <f>SC8Q!F6</f>
        <v>824549.25</v>
      </c>
      <c r="H9" s="331">
        <f>SC8Q!G6</f>
        <v>869248.92</v>
      </c>
      <c r="I9" s="413">
        <f t="shared" si="0"/>
        <v>-44699.670000000042</v>
      </c>
      <c r="J9" s="413">
        <f t="shared" si="1"/>
        <v>-5.1423325323199758E-2</v>
      </c>
      <c r="K9" s="367">
        <f>SC8Q!J6</f>
        <v>1102400</v>
      </c>
    </row>
    <row r="10" spans="1:11" ht="12.75" customHeight="1" x14ac:dyDescent="0.25">
      <c r="A10" s="30" t="s">
        <v>956</v>
      </c>
      <c r="B10" s="90"/>
      <c r="C10" s="366">
        <f>SC8Q!B7</f>
        <v>1552365.72</v>
      </c>
      <c r="D10" s="366">
        <f>SC8Q!C7</f>
        <v>2554400</v>
      </c>
      <c r="E10" s="331">
        <f>SC8Q!D7</f>
        <v>1871600</v>
      </c>
      <c r="F10" s="331">
        <f>SC8Q!E7</f>
        <v>179377.97</v>
      </c>
      <c r="G10" s="331">
        <f>SC8Q!F7</f>
        <v>1607664.82</v>
      </c>
      <c r="H10" s="331">
        <f>SC8Q!G7</f>
        <v>1568189.22</v>
      </c>
      <c r="I10" s="413">
        <f t="shared" si="0"/>
        <v>39475.600000000093</v>
      </c>
      <c r="J10" s="413">
        <f t="shared" si="1"/>
        <v>2.5172727561537562E-2</v>
      </c>
      <c r="K10" s="367">
        <f>SC8Q!J7</f>
        <v>1871600</v>
      </c>
    </row>
    <row r="11" spans="1:11" ht="12.75" customHeight="1" x14ac:dyDescent="0.25">
      <c r="A11" s="30" t="s">
        <v>957</v>
      </c>
      <c r="B11" s="90"/>
      <c r="C11" s="366">
        <f>SC8Q!B8</f>
        <v>3272534.99</v>
      </c>
      <c r="D11" s="366">
        <f>SC8Q!C8</f>
        <v>3309800</v>
      </c>
      <c r="E11" s="331">
        <f>SC8Q!D8</f>
        <v>3144400</v>
      </c>
      <c r="F11" s="331">
        <f>SC8Q!E8</f>
        <v>262439</v>
      </c>
      <c r="G11" s="331">
        <f>SC8Q!F8</f>
        <v>2639828.39</v>
      </c>
      <c r="H11" s="331">
        <f>SC8Q!G8</f>
        <v>2631125.7799999998</v>
      </c>
      <c r="I11" s="413">
        <f t="shared" si="0"/>
        <v>8702.6100000003353</v>
      </c>
      <c r="J11" s="413">
        <f t="shared" si="1"/>
        <v>3.3075613739759471E-3</v>
      </c>
      <c r="K11" s="367">
        <f>SC8Q!J8</f>
        <v>3144400</v>
      </c>
    </row>
    <row r="12" spans="1:11" ht="12.75" customHeight="1" x14ac:dyDescent="0.25">
      <c r="A12" s="30" t="s">
        <v>958</v>
      </c>
      <c r="B12" s="90"/>
      <c r="C12" s="366">
        <f>SC8Q!B9</f>
        <v>0</v>
      </c>
      <c r="D12" s="366">
        <f>SC8Q!C9</f>
        <v>0</v>
      </c>
      <c r="E12" s="331">
        <f>SC8Q!D9</f>
        <v>0</v>
      </c>
      <c r="F12" s="331">
        <f>SC8Q!E9</f>
        <v>0</v>
      </c>
      <c r="G12" s="331">
        <f>SC8Q!F9</f>
        <v>0</v>
      </c>
      <c r="H12" s="331">
        <f>SC8Q!G9</f>
        <v>0</v>
      </c>
      <c r="I12" s="413">
        <f t="shared" si="0"/>
        <v>0</v>
      </c>
      <c r="J12" s="413" t="str">
        <f t="shared" si="1"/>
        <v/>
      </c>
      <c r="K12" s="367">
        <f>SC8Q!J9</f>
        <v>0</v>
      </c>
    </row>
    <row r="13" spans="1:11" ht="12.75" customHeight="1" x14ac:dyDescent="0.25">
      <c r="A13" s="30" t="s">
        <v>959</v>
      </c>
      <c r="B13" s="90"/>
      <c r="C13" s="366">
        <f>SC8Q!B10</f>
        <v>0</v>
      </c>
      <c r="D13" s="366">
        <f>SC8Q!C10</f>
        <v>0</v>
      </c>
      <c r="E13" s="331">
        <f>SC8Q!D10</f>
        <v>0</v>
      </c>
      <c r="F13" s="331">
        <f>SC8Q!E10</f>
        <v>0</v>
      </c>
      <c r="G13" s="331">
        <f>SC8Q!F10</f>
        <v>0</v>
      </c>
      <c r="H13" s="331">
        <f>SC8Q!G10</f>
        <v>0</v>
      </c>
      <c r="I13" s="413">
        <f t="shared" si="0"/>
        <v>0</v>
      </c>
      <c r="J13" s="698" t="str">
        <f t="shared" si="1"/>
        <v/>
      </c>
      <c r="K13" s="367">
        <f>SC8Q!J10</f>
        <v>0</v>
      </c>
    </row>
    <row r="14" spans="1:11" ht="12.75" customHeight="1" x14ac:dyDescent="0.25">
      <c r="A14" s="59" t="s">
        <v>389</v>
      </c>
      <c r="B14" s="90"/>
      <c r="C14" s="212">
        <f t="shared" ref="C14:K14" si="2">SUM(C7:C13)</f>
        <v>30596809.019999996</v>
      </c>
      <c r="D14" s="207">
        <f t="shared" si="2"/>
        <v>35202700</v>
      </c>
      <c r="E14" s="200">
        <f t="shared" si="2"/>
        <v>38433400</v>
      </c>
      <c r="F14" s="200">
        <f t="shared" si="2"/>
        <v>2790662.3800000004</v>
      </c>
      <c r="G14" s="200">
        <f t="shared" si="2"/>
        <v>28233644.619999997</v>
      </c>
      <c r="H14" s="200">
        <f t="shared" si="2"/>
        <v>30260294.150000002</v>
      </c>
      <c r="I14" s="697">
        <f t="shared" si="0"/>
        <v>-2026649.5300000049</v>
      </c>
      <c r="J14" s="413">
        <f t="shared" si="1"/>
        <v>-6.6973887297787707E-2</v>
      </c>
      <c r="K14" s="692">
        <f t="shared" si="2"/>
        <v>38433400</v>
      </c>
    </row>
    <row r="15" spans="1:11" ht="12.75" customHeight="1" x14ac:dyDescent="0.25">
      <c r="A15" s="66" t="s">
        <v>670</v>
      </c>
      <c r="B15" s="90">
        <v>4</v>
      </c>
      <c r="C15" s="571"/>
      <c r="D15" s="694">
        <f>IF(C14=0,"",(D14/C14)-1)</f>
        <v>0.15053501092186794</v>
      </c>
      <c r="E15" s="572">
        <f>IF(E14=0,"",(E14/C14)-1)</f>
        <v>0.25612445320286548</v>
      </c>
      <c r="F15" s="572"/>
      <c r="G15" s="572"/>
      <c r="H15" s="572"/>
      <c r="I15" s="413">
        <f t="shared" si="0"/>
        <v>0</v>
      </c>
      <c r="J15" s="413" t="str">
        <f t="shared" si="1"/>
        <v/>
      </c>
      <c r="K15" s="695">
        <f>IF(C14=0,"",(K14/C14)-1)</f>
        <v>0.25612445320286548</v>
      </c>
    </row>
    <row r="16" spans="1:11" ht="5.0999999999999996" customHeight="1" x14ac:dyDescent="0.25">
      <c r="A16" s="32"/>
      <c r="B16" s="90"/>
      <c r="C16" s="354"/>
      <c r="D16" s="419"/>
      <c r="E16" s="413"/>
      <c r="F16" s="413"/>
      <c r="G16" s="413"/>
      <c r="H16" s="413"/>
      <c r="I16" s="413">
        <f t="shared" si="0"/>
        <v>0</v>
      </c>
      <c r="J16" s="413" t="str">
        <f t="shared" si="1"/>
        <v/>
      </c>
      <c r="K16" s="353"/>
    </row>
    <row r="17" spans="1:11" ht="12.75" customHeight="1" x14ac:dyDescent="0.25">
      <c r="A17" s="569" t="s">
        <v>465</v>
      </c>
      <c r="B17" s="90">
        <v>3</v>
      </c>
      <c r="C17" s="354"/>
      <c r="D17" s="419"/>
      <c r="E17" s="413"/>
      <c r="F17" s="413"/>
      <c r="G17" s="413"/>
      <c r="H17" s="413"/>
      <c r="I17" s="413">
        <f t="shared" si="0"/>
        <v>0</v>
      </c>
      <c r="J17" s="413" t="str">
        <f t="shared" si="1"/>
        <v/>
      </c>
      <c r="K17" s="353"/>
    </row>
    <row r="18" spans="1:11" ht="12.75" customHeight="1" x14ac:dyDescent="0.25">
      <c r="A18" s="30" t="s">
        <v>445</v>
      </c>
      <c r="B18" s="90"/>
      <c r="C18" s="366">
        <f>SC8Q!B12</f>
        <v>11798988.970000001</v>
      </c>
      <c r="D18" s="744">
        <f>SC8Q!C12</f>
        <v>12616100</v>
      </c>
      <c r="E18" s="365">
        <f>SC8Q!D12</f>
        <v>14952300</v>
      </c>
      <c r="F18" s="365">
        <f>SC8Q!E12</f>
        <v>825654.17</v>
      </c>
      <c r="G18" s="331">
        <f>SC8Q!F12</f>
        <v>11217249.609999999</v>
      </c>
      <c r="H18" s="415">
        <f>SC8Q!G12</f>
        <v>12175756.68</v>
      </c>
      <c r="I18" s="413">
        <f t="shared" si="0"/>
        <v>-958507.0700000003</v>
      </c>
      <c r="J18" s="757">
        <f t="shared" si="1"/>
        <v>-7.8722587449078382E-2</v>
      </c>
      <c r="K18" s="332">
        <f>SC8Q!J12</f>
        <v>14952300</v>
      </c>
    </row>
    <row r="19" spans="1:11" ht="12.75" customHeight="1" x14ac:dyDescent="0.25">
      <c r="A19" s="30" t="s">
        <v>955</v>
      </c>
      <c r="B19" s="90"/>
      <c r="C19" s="366">
        <f>SC8Q!B13</f>
        <v>891486.07</v>
      </c>
      <c r="D19" s="744">
        <f>SC8Q!C13</f>
        <v>998500</v>
      </c>
      <c r="E19" s="365">
        <f>SC8Q!D13</f>
        <v>998500</v>
      </c>
      <c r="F19" s="365">
        <f>SC8Q!E13</f>
        <v>79296.92</v>
      </c>
      <c r="G19" s="331">
        <f>SC8Q!F13</f>
        <v>728543.93</v>
      </c>
      <c r="H19" s="415">
        <f>SC8Q!G13</f>
        <v>789346.35</v>
      </c>
      <c r="I19" s="413">
        <f t="shared" si="0"/>
        <v>-60802.419999999925</v>
      </c>
      <c r="J19" s="413">
        <f t="shared" si="1"/>
        <v>-7.7028822645471062E-2</v>
      </c>
      <c r="K19" s="332">
        <f>SC8Q!J13</f>
        <v>998500</v>
      </c>
    </row>
    <row r="20" spans="1:11" ht="12.75" customHeight="1" x14ac:dyDescent="0.25">
      <c r="A20" s="30" t="s">
        <v>388</v>
      </c>
      <c r="B20" s="90"/>
      <c r="C20" s="366">
        <f>SC8Q!B14</f>
        <v>209078.6</v>
      </c>
      <c r="D20" s="744">
        <f>SC8Q!C14</f>
        <v>228400</v>
      </c>
      <c r="E20" s="365">
        <f>SC8Q!D14</f>
        <v>228400</v>
      </c>
      <c r="F20" s="365">
        <f>SC8Q!E14</f>
        <v>13043.4</v>
      </c>
      <c r="G20" s="331">
        <f>SC8Q!F14</f>
        <v>169187.16</v>
      </c>
      <c r="H20" s="415">
        <f>SC8Q!G14</f>
        <v>185710.23</v>
      </c>
      <c r="I20" s="413">
        <f t="shared" si="0"/>
        <v>-16523.070000000007</v>
      </c>
      <c r="J20" s="413">
        <f t="shared" si="1"/>
        <v>-8.8972319941663991E-2</v>
      </c>
      <c r="K20" s="332">
        <f>SC8Q!J14</f>
        <v>228400</v>
      </c>
    </row>
    <row r="21" spans="1:11" ht="12.75" customHeight="1" x14ac:dyDescent="0.25">
      <c r="A21" s="30" t="s">
        <v>495</v>
      </c>
      <c r="B21" s="90"/>
      <c r="C21" s="366">
        <f>SC8Q!B15</f>
        <v>0</v>
      </c>
      <c r="D21" s="744">
        <f>SC8Q!C15</f>
        <v>0</v>
      </c>
      <c r="E21" s="365">
        <f>SC8Q!D15</f>
        <v>0</v>
      </c>
      <c r="F21" s="365">
        <f>SC8Q!E15</f>
        <v>0</v>
      </c>
      <c r="G21" s="331">
        <f>SC8Q!F15</f>
        <v>0</v>
      </c>
      <c r="H21" s="415">
        <f>SC8Q!G15</f>
        <v>0</v>
      </c>
      <c r="I21" s="413">
        <f t="shared" si="0"/>
        <v>0</v>
      </c>
      <c r="J21" s="413" t="str">
        <f t="shared" si="1"/>
        <v/>
      </c>
      <c r="K21" s="332">
        <f>SC8Q!J15</f>
        <v>0</v>
      </c>
    </row>
    <row r="22" spans="1:11" ht="12.75" customHeight="1" x14ac:dyDescent="0.25">
      <c r="A22" s="30" t="s">
        <v>390</v>
      </c>
      <c r="B22" s="90"/>
      <c r="C22" s="366">
        <f>SC8Q!B16</f>
        <v>1632562.46</v>
      </c>
      <c r="D22" s="744">
        <f>SC8Q!C16</f>
        <v>3103800</v>
      </c>
      <c r="E22" s="365">
        <f>SC8Q!D16</f>
        <v>3103800</v>
      </c>
      <c r="F22" s="365">
        <f>SC8Q!E16</f>
        <v>129505.8</v>
      </c>
      <c r="G22" s="331">
        <f>SC8Q!F16</f>
        <v>736027.72</v>
      </c>
      <c r="H22" s="415">
        <f>SC8Q!G16</f>
        <v>750985.88</v>
      </c>
      <c r="I22" s="413">
        <f t="shared" si="0"/>
        <v>-14958.160000000033</v>
      </c>
      <c r="J22" s="413">
        <f>IF(H22=0,"",I22/H22)</f>
        <v>-1.9918030948864223E-2</v>
      </c>
      <c r="K22" s="332">
        <f>SC8Q!J16</f>
        <v>3103800</v>
      </c>
    </row>
    <row r="23" spans="1:11" ht="12.75" customHeight="1" x14ac:dyDescent="0.25">
      <c r="A23" s="30" t="s">
        <v>956</v>
      </c>
      <c r="B23" s="90"/>
      <c r="C23" s="366">
        <f>SC8Q!B17</f>
        <v>1926347.03</v>
      </c>
      <c r="D23" s="744">
        <f>SC8Q!C17</f>
        <v>2136700</v>
      </c>
      <c r="E23" s="365">
        <f>SC8Q!D17</f>
        <v>2136500</v>
      </c>
      <c r="F23" s="365">
        <f>SC8Q!E17</f>
        <v>166258.51999999999</v>
      </c>
      <c r="G23" s="331">
        <f>SC8Q!F17</f>
        <v>1505902.98</v>
      </c>
      <c r="H23" s="415">
        <f>SC8Q!G17</f>
        <v>1666017.65</v>
      </c>
      <c r="I23" s="413">
        <f t="shared" si="0"/>
        <v>-160114.66999999993</v>
      </c>
      <c r="J23" s="413">
        <f t="shared" ref="J23:J86" si="3">IF(H23=0,"",I23/H23)</f>
        <v>-9.6106226725749241E-2</v>
      </c>
      <c r="K23" s="332">
        <f>SC8Q!J17</f>
        <v>2136500</v>
      </c>
    </row>
    <row r="24" spans="1:11" ht="12.75" customHeight="1" x14ac:dyDescent="0.25">
      <c r="A24" s="30" t="s">
        <v>957</v>
      </c>
      <c r="B24" s="90"/>
      <c r="C24" s="366">
        <f>SC8Q!B18</f>
        <v>313566.21999999997</v>
      </c>
      <c r="D24" s="744">
        <f>SC8Q!C18</f>
        <v>297100</v>
      </c>
      <c r="E24" s="365">
        <f>SC8Q!D18</f>
        <v>330400</v>
      </c>
      <c r="F24" s="365">
        <f>SC8Q!E18</f>
        <v>24091.13</v>
      </c>
      <c r="G24" s="331">
        <f>SC8Q!F18</f>
        <v>247794.48</v>
      </c>
      <c r="H24" s="415">
        <f>SC8Q!G18</f>
        <v>265005.78999999998</v>
      </c>
      <c r="I24" s="413">
        <f t="shared" si="0"/>
        <v>-17211.309999999969</v>
      </c>
      <c r="J24" s="413">
        <f t="shared" si="3"/>
        <v>-6.4946920593697097E-2</v>
      </c>
      <c r="K24" s="332">
        <f>SC8Q!J18</f>
        <v>330400</v>
      </c>
    </row>
    <row r="25" spans="1:11" ht="12.75" customHeight="1" x14ac:dyDescent="0.25">
      <c r="A25" s="30" t="s">
        <v>958</v>
      </c>
      <c r="B25" s="90"/>
      <c r="C25" s="366">
        <f>SC8Q!B19</f>
        <v>0</v>
      </c>
      <c r="D25" s="744">
        <f>SC8Q!C19</f>
        <v>0</v>
      </c>
      <c r="E25" s="365">
        <f>SC8Q!D19</f>
        <v>0</v>
      </c>
      <c r="F25" s="365">
        <f>SC8Q!E19</f>
        <v>0</v>
      </c>
      <c r="G25" s="331">
        <f>SC8Q!F19</f>
        <v>0</v>
      </c>
      <c r="H25" s="415">
        <f>SC8Q!G19</f>
        <v>0</v>
      </c>
      <c r="I25" s="413">
        <f t="shared" si="0"/>
        <v>0</v>
      </c>
      <c r="J25" s="413" t="str">
        <f t="shared" si="3"/>
        <v/>
      </c>
      <c r="K25" s="332">
        <f>SC8Q!J19</f>
        <v>0</v>
      </c>
    </row>
    <row r="26" spans="1:11" ht="12.75" customHeight="1" x14ac:dyDescent="0.25">
      <c r="A26" s="30" t="s">
        <v>959</v>
      </c>
      <c r="B26" s="90"/>
      <c r="C26" s="366">
        <f>SC8Q!B20</f>
        <v>86139.839999999997</v>
      </c>
      <c r="D26" s="744">
        <f>SC8Q!C20</f>
        <v>95100</v>
      </c>
      <c r="E26" s="365">
        <f>SC8Q!D20</f>
        <v>95100</v>
      </c>
      <c r="F26" s="365">
        <f>SC8Q!E20</f>
        <v>10542.51</v>
      </c>
      <c r="G26" s="331">
        <f>SC8Q!F20</f>
        <v>77555.34</v>
      </c>
      <c r="H26" s="415">
        <f>SC8Q!G20</f>
        <v>76922.81</v>
      </c>
      <c r="I26" s="413">
        <f t="shared" si="0"/>
        <v>632.52999999999884</v>
      </c>
      <c r="J26" s="413">
        <f t="shared" si="3"/>
        <v>8.2229185335272962E-3</v>
      </c>
      <c r="K26" s="332">
        <f>SC8Q!J20</f>
        <v>95100</v>
      </c>
    </row>
    <row r="27" spans="1:11" ht="12.75" customHeight="1" x14ac:dyDescent="0.25">
      <c r="A27" s="30" t="s">
        <v>960</v>
      </c>
      <c r="B27" s="90"/>
      <c r="C27" s="366">
        <f>SC8Q!B21</f>
        <v>-11436.79</v>
      </c>
      <c r="D27" s="744">
        <f>SC8Q!C21</f>
        <v>701400</v>
      </c>
      <c r="E27" s="365">
        <f>SC8Q!D21</f>
        <v>713300</v>
      </c>
      <c r="F27" s="365">
        <f>SC8Q!E21</f>
        <v>166776.24</v>
      </c>
      <c r="G27" s="331">
        <f>SC8Q!F21</f>
        <v>314018.44</v>
      </c>
      <c r="H27" s="415">
        <f>SC8Q!G21</f>
        <v>147242.20000000001</v>
      </c>
      <c r="I27" s="413">
        <f t="shared" si="0"/>
        <v>166776.24</v>
      </c>
      <c r="J27" s="413">
        <f t="shared" si="3"/>
        <v>1.1326660427513306</v>
      </c>
      <c r="K27" s="332">
        <f>SC8Q!J21</f>
        <v>713300</v>
      </c>
    </row>
    <row r="28" spans="1:11" ht="12.75" customHeight="1" x14ac:dyDescent="0.25">
      <c r="A28" s="30" t="s">
        <v>961</v>
      </c>
      <c r="B28" s="90"/>
      <c r="C28" s="366">
        <f>SC8Q!B22</f>
        <v>0</v>
      </c>
      <c r="D28" s="744">
        <f>SC8Q!C22</f>
        <v>0</v>
      </c>
      <c r="E28" s="365">
        <f>SC8Q!D22</f>
        <v>0</v>
      </c>
      <c r="F28" s="365">
        <f>SC8Q!E22</f>
        <v>0</v>
      </c>
      <c r="G28" s="331">
        <f>SC8Q!F22</f>
        <v>0</v>
      </c>
      <c r="H28" s="415">
        <f>SC8Q!G22</f>
        <v>0</v>
      </c>
      <c r="I28" s="413">
        <f t="shared" si="0"/>
        <v>0</v>
      </c>
      <c r="J28" s="413" t="str">
        <f t="shared" si="3"/>
        <v/>
      </c>
      <c r="K28" s="332">
        <f>SC8Q!J22</f>
        <v>0</v>
      </c>
    </row>
    <row r="29" spans="1:11" ht="12.75" customHeight="1" x14ac:dyDescent="0.25">
      <c r="A29" s="30" t="s">
        <v>962</v>
      </c>
      <c r="B29" s="90">
        <v>2</v>
      </c>
      <c r="C29" s="366">
        <f>SC8Q!B23</f>
        <v>0</v>
      </c>
      <c r="D29" s="744">
        <f>SC8Q!C23</f>
        <v>0</v>
      </c>
      <c r="E29" s="365">
        <f>SC8Q!D23</f>
        <v>0</v>
      </c>
      <c r="F29" s="365">
        <f>SC8Q!E23</f>
        <v>0</v>
      </c>
      <c r="G29" s="331">
        <f>SC8Q!F23</f>
        <v>0</v>
      </c>
      <c r="H29" s="415">
        <f>SC8Q!G23</f>
        <v>0</v>
      </c>
      <c r="I29" s="413">
        <f t="shared" si="0"/>
        <v>0</v>
      </c>
      <c r="J29" s="413" t="str">
        <f t="shared" si="3"/>
        <v/>
      </c>
      <c r="K29" s="332">
        <f>SC8Q!J23</f>
        <v>0</v>
      </c>
    </row>
    <row r="30" spans="1:11" ht="12.75" customHeight="1" x14ac:dyDescent="0.25">
      <c r="A30" s="612" t="s">
        <v>1331</v>
      </c>
      <c r="B30" s="90"/>
      <c r="C30" s="366">
        <f>SC8Q!B24</f>
        <v>0</v>
      </c>
      <c r="D30" s="744">
        <f>SC8Q!C24</f>
        <v>0</v>
      </c>
      <c r="E30" s="365">
        <f>SC8Q!D24</f>
        <v>0</v>
      </c>
      <c r="F30" s="365">
        <f>SC8Q!E24</f>
        <v>0</v>
      </c>
      <c r="G30" s="331">
        <f>SC8Q!F24</f>
        <v>0</v>
      </c>
      <c r="H30" s="415">
        <f>SC8Q!G24</f>
        <v>0</v>
      </c>
      <c r="I30" s="413">
        <f t="shared" si="0"/>
        <v>0</v>
      </c>
      <c r="J30" s="413" t="str">
        <f t="shared" si="3"/>
        <v/>
      </c>
      <c r="K30" s="332">
        <f>SC8Q!J24</f>
        <v>0</v>
      </c>
    </row>
    <row r="31" spans="1:11" ht="12.75" customHeight="1" x14ac:dyDescent="0.25">
      <c r="A31" s="612" t="s">
        <v>1332</v>
      </c>
      <c r="B31" s="90"/>
      <c r="C31" s="366"/>
      <c r="D31" s="366"/>
      <c r="E31" s="331"/>
      <c r="F31" s="415"/>
      <c r="G31" s="331"/>
      <c r="H31" s="331"/>
      <c r="I31" s="413">
        <f t="shared" si="0"/>
        <v>0</v>
      </c>
      <c r="J31" s="413" t="str">
        <f t="shared" si="3"/>
        <v/>
      </c>
      <c r="K31" s="332"/>
    </row>
    <row r="32" spans="1:11" ht="12.75" customHeight="1" x14ac:dyDescent="0.25">
      <c r="A32" s="612" t="s">
        <v>1333</v>
      </c>
      <c r="B32" s="90"/>
      <c r="C32" s="366">
        <f>SC8Q!B25</f>
        <v>50295.48</v>
      </c>
      <c r="D32" s="366">
        <f>SC8Q!C25</f>
        <v>51600</v>
      </c>
      <c r="E32" s="331">
        <f>SC8Q!D25</f>
        <v>151400</v>
      </c>
      <c r="F32" s="331">
        <f>SC8Q!E25</f>
        <v>20687.18</v>
      </c>
      <c r="G32" s="331">
        <f>SC8Q!F25</f>
        <v>83783.070000000007</v>
      </c>
      <c r="H32" s="415">
        <f>SC8Q!G25</f>
        <v>105552.82</v>
      </c>
      <c r="I32" s="413">
        <f t="shared" si="0"/>
        <v>-21769.75</v>
      </c>
      <c r="J32" s="413">
        <f t="shared" si="3"/>
        <v>-0.20624508184622636</v>
      </c>
      <c r="K32" s="332">
        <f>SC8Q!J25</f>
        <v>151400</v>
      </c>
    </row>
    <row r="33" spans="1:11" ht="12.75" customHeight="1" x14ac:dyDescent="0.25">
      <c r="A33" s="612" t="s">
        <v>1334</v>
      </c>
      <c r="B33" s="90"/>
      <c r="C33" s="366"/>
      <c r="D33" s="366"/>
      <c r="E33" s="392"/>
      <c r="F33" s="331"/>
      <c r="G33" s="392"/>
      <c r="H33" s="415"/>
      <c r="I33" s="413">
        <f t="shared" si="0"/>
        <v>0</v>
      </c>
      <c r="J33" s="413" t="str">
        <f t="shared" si="3"/>
        <v/>
      </c>
      <c r="K33" s="393"/>
    </row>
    <row r="34" spans="1:11" ht="12.75" customHeight="1" x14ac:dyDescent="0.25">
      <c r="A34" s="59" t="s">
        <v>391</v>
      </c>
      <c r="B34" s="90"/>
      <c r="C34" s="212">
        <f>SUM(C18:C33)</f>
        <v>16897027.880000003</v>
      </c>
      <c r="D34" s="207">
        <f t="shared" ref="D34:H34" si="4">SUM(D18:D33)</f>
        <v>20228700</v>
      </c>
      <c r="E34" s="200">
        <f t="shared" si="4"/>
        <v>22709700</v>
      </c>
      <c r="F34" s="200">
        <f t="shared" si="4"/>
        <v>1435855.8699999999</v>
      </c>
      <c r="G34" s="200">
        <f t="shared" si="4"/>
        <v>15080062.73</v>
      </c>
      <c r="H34" s="218">
        <f t="shared" si="4"/>
        <v>16162540.41</v>
      </c>
      <c r="I34" s="697">
        <f t="shared" si="0"/>
        <v>-1082477.6799999997</v>
      </c>
      <c r="J34" s="697">
        <f t="shared" si="3"/>
        <v>-6.6974476322438456E-2</v>
      </c>
      <c r="K34" s="692">
        <f>SUM(K18:K33)</f>
        <v>22709700</v>
      </c>
    </row>
    <row r="35" spans="1:11" ht="12.75" customHeight="1" x14ac:dyDescent="0.25">
      <c r="A35" s="66" t="s">
        <v>670</v>
      </c>
      <c r="B35" s="90">
        <v>4</v>
      </c>
      <c r="C35" s="571"/>
      <c r="D35" s="694"/>
      <c r="E35" s="572">
        <f>IF(E34=0,"",(E34/C34)-1)</f>
        <v>0.34400559443238587</v>
      </c>
      <c r="F35" s="572"/>
      <c r="G35" s="572"/>
      <c r="H35" s="693"/>
      <c r="I35" s="413">
        <f t="shared" si="0"/>
        <v>0</v>
      </c>
      <c r="J35" s="413" t="str">
        <f t="shared" si="3"/>
        <v/>
      </c>
      <c r="K35" s="695"/>
    </row>
    <row r="36" spans="1:11" ht="5.0999999999999996" customHeight="1" x14ac:dyDescent="0.25">
      <c r="A36" s="32"/>
      <c r="B36" s="90"/>
      <c r="C36" s="354"/>
      <c r="D36" s="419"/>
      <c r="E36" s="413"/>
      <c r="F36" s="413"/>
      <c r="G36" s="413"/>
      <c r="H36" s="412"/>
      <c r="I36" s="413">
        <f t="shared" si="0"/>
        <v>0</v>
      </c>
      <c r="J36" s="413" t="str">
        <f t="shared" si="3"/>
        <v/>
      </c>
      <c r="K36" s="353"/>
    </row>
    <row r="37" spans="1:11" ht="12.75" customHeight="1" x14ac:dyDescent="0.25">
      <c r="A37" s="569" t="s">
        <v>392</v>
      </c>
      <c r="B37" s="90"/>
      <c r="C37" s="354"/>
      <c r="D37" s="419"/>
      <c r="E37" s="413"/>
      <c r="F37" s="413"/>
      <c r="G37" s="413"/>
      <c r="H37" s="412"/>
      <c r="I37" s="413">
        <f t="shared" si="0"/>
        <v>0</v>
      </c>
      <c r="J37" s="413" t="str">
        <f t="shared" si="3"/>
        <v/>
      </c>
      <c r="K37" s="353"/>
    </row>
    <row r="38" spans="1:11" ht="12.75" customHeight="1" x14ac:dyDescent="0.25">
      <c r="A38" s="30" t="s">
        <v>445</v>
      </c>
      <c r="B38" s="90"/>
      <c r="C38" s="366">
        <f>SC8Q!B27</f>
        <v>620726246.74000001</v>
      </c>
      <c r="D38" s="366">
        <f>SC8Q!C27</f>
        <v>719340200</v>
      </c>
      <c r="E38" s="331">
        <f>SC8Q!D27</f>
        <v>662157000</v>
      </c>
      <c r="F38" s="331">
        <f>SC8Q!E27</f>
        <v>52688308.880000003</v>
      </c>
      <c r="G38" s="331">
        <f>SC8Q!F27</f>
        <v>529116604.95999998</v>
      </c>
      <c r="H38" s="415">
        <f>SC8Q!G27</f>
        <v>539345293.21000004</v>
      </c>
      <c r="I38" s="413">
        <f t="shared" si="0"/>
        <v>-10228688.25000006</v>
      </c>
      <c r="J38" s="413">
        <f t="shared" si="3"/>
        <v>-1.896500883343652E-2</v>
      </c>
      <c r="K38" s="367">
        <f>SC8Q!J27</f>
        <v>662157000</v>
      </c>
    </row>
    <row r="39" spans="1:11" ht="12.75" customHeight="1" x14ac:dyDescent="0.25">
      <c r="A39" s="30" t="s">
        <v>955</v>
      </c>
      <c r="B39" s="90"/>
      <c r="C39" s="366">
        <f>SC8Q!B28</f>
        <v>113620912.18000001</v>
      </c>
      <c r="D39" s="366">
        <f>SC8Q!C28</f>
        <v>141600700</v>
      </c>
      <c r="E39" s="331">
        <f>SC8Q!D28</f>
        <v>119266100</v>
      </c>
      <c r="F39" s="331">
        <f>SC8Q!E28</f>
        <v>9637941.1699999999</v>
      </c>
      <c r="G39" s="331">
        <f>SC8Q!F28</f>
        <v>95868214.719999999</v>
      </c>
      <c r="H39" s="415">
        <f>SC8Q!G28</f>
        <v>97637843.590000004</v>
      </c>
      <c r="I39" s="413">
        <f t="shared" si="0"/>
        <v>-1769628.8700000048</v>
      </c>
      <c r="J39" s="413">
        <f t="shared" si="3"/>
        <v>-1.8124415748375346E-2</v>
      </c>
      <c r="K39" s="367">
        <f>SC8Q!J28</f>
        <v>119266100</v>
      </c>
    </row>
    <row r="40" spans="1:11" ht="12.75" customHeight="1" x14ac:dyDescent="0.25">
      <c r="A40" s="30" t="s">
        <v>388</v>
      </c>
      <c r="B40" s="90"/>
      <c r="C40" s="366">
        <f>SC8Q!B29</f>
        <v>53772935.869999997</v>
      </c>
      <c r="D40" s="366">
        <f>SC8Q!C29</f>
        <v>70298600</v>
      </c>
      <c r="E40" s="331">
        <f>SC8Q!D29</f>
        <v>57356500</v>
      </c>
      <c r="F40" s="331">
        <f>SC8Q!E29</f>
        <v>4890824.87</v>
      </c>
      <c r="G40" s="331">
        <f>SC8Q!F29</f>
        <v>46804416.189999998</v>
      </c>
      <c r="H40" s="415">
        <f>SC8Q!G29</f>
        <v>46941884.43</v>
      </c>
      <c r="I40" s="413">
        <f t="shared" si="0"/>
        <v>-137468.24000000209</v>
      </c>
      <c r="J40" s="413">
        <f t="shared" si="3"/>
        <v>-2.928477236677524E-3</v>
      </c>
      <c r="K40" s="367">
        <f>SC8Q!J29</f>
        <v>57356500</v>
      </c>
    </row>
    <row r="41" spans="1:11" ht="12.75" customHeight="1" x14ac:dyDescent="0.25">
      <c r="A41" s="30" t="s">
        <v>495</v>
      </c>
      <c r="B41" s="90"/>
      <c r="C41" s="366">
        <f>SC8Q!B30</f>
        <v>89770082.739999995</v>
      </c>
      <c r="D41" s="366">
        <f>SC8Q!C30</f>
        <v>58272800</v>
      </c>
      <c r="E41" s="331">
        <f>SC8Q!D30</f>
        <v>87064600</v>
      </c>
      <c r="F41" s="331">
        <f>SC8Q!E30</f>
        <v>6673873.5099999998</v>
      </c>
      <c r="G41" s="331">
        <f>SC8Q!F30</f>
        <v>65100336.640000001</v>
      </c>
      <c r="H41" s="415">
        <f>SC8Q!G30</f>
        <v>67710276.569999993</v>
      </c>
      <c r="I41" s="413">
        <f t="shared" si="0"/>
        <v>-2609939.9299999923</v>
      </c>
      <c r="J41" s="413">
        <f t="shared" si="3"/>
        <v>-3.8545698854173097E-2</v>
      </c>
      <c r="K41" s="367">
        <f>SC8Q!J30</f>
        <v>87064600</v>
      </c>
    </row>
    <row r="42" spans="1:11" ht="12.75" customHeight="1" x14ac:dyDescent="0.25">
      <c r="A42" s="30" t="s">
        <v>390</v>
      </c>
      <c r="B42" s="90"/>
      <c r="C42" s="366"/>
      <c r="D42" s="366">
        <f>SC8Q!C31</f>
        <v>0</v>
      </c>
      <c r="E42" s="331">
        <f>SC8Q!D31</f>
        <v>0</v>
      </c>
      <c r="F42" s="331">
        <f>SC8Q!E31</f>
        <v>0</v>
      </c>
      <c r="G42" s="331">
        <f>SC8Q!F31</f>
        <v>0</v>
      </c>
      <c r="H42" s="415">
        <f>SC8Q!G31</f>
        <v>0</v>
      </c>
      <c r="I42" s="413">
        <f t="shared" si="0"/>
        <v>0</v>
      </c>
      <c r="J42" s="413" t="str">
        <f t="shared" si="3"/>
        <v/>
      </c>
      <c r="K42" s="367">
        <f>SC8Q!J31</f>
        <v>0</v>
      </c>
    </row>
    <row r="43" spans="1:11" ht="12.75" customHeight="1" x14ac:dyDescent="0.25">
      <c r="A43" s="30" t="s">
        <v>956</v>
      </c>
      <c r="B43" s="90"/>
      <c r="C43" s="366">
        <f>SC8Q!B32</f>
        <v>64364738.68</v>
      </c>
      <c r="D43" s="366">
        <f>SC8Q!C32</f>
        <v>69749200</v>
      </c>
      <c r="E43" s="331">
        <f>SC8Q!D32</f>
        <v>66157400</v>
      </c>
      <c r="F43" s="331">
        <f>SC8Q!E32</f>
        <v>5236889.2</v>
      </c>
      <c r="G43" s="331">
        <f>SC8Q!F32</f>
        <v>52889270.020000003</v>
      </c>
      <c r="H43" s="415">
        <f>SC8Q!G32</f>
        <v>54160998.359999999</v>
      </c>
      <c r="I43" s="413">
        <f t="shared" si="0"/>
        <v>-1271728.3399999961</v>
      </c>
      <c r="J43" s="413">
        <f t="shared" si="3"/>
        <v>-2.348051879596106E-2</v>
      </c>
      <c r="K43" s="367">
        <f>SC8Q!J32</f>
        <v>66157400</v>
      </c>
    </row>
    <row r="44" spans="1:11" ht="12.75" customHeight="1" x14ac:dyDescent="0.25">
      <c r="A44" s="30" t="s">
        <v>957</v>
      </c>
      <c r="B44" s="90"/>
      <c r="C44" s="366">
        <f>SC8Q!B33</f>
        <v>5368209.6900000004</v>
      </c>
      <c r="D44" s="366">
        <f>SC8Q!C33</f>
        <v>7895400</v>
      </c>
      <c r="E44" s="331">
        <f>SC8Q!D33</f>
        <v>5950500</v>
      </c>
      <c r="F44" s="331">
        <f>SC8Q!E33</f>
        <v>442140.67</v>
      </c>
      <c r="G44" s="331">
        <f>SC8Q!F33</f>
        <v>4511421.3600000003</v>
      </c>
      <c r="H44" s="415">
        <f>SC8Q!G33</f>
        <v>4753003.1100000003</v>
      </c>
      <c r="I44" s="413">
        <f t="shared" si="0"/>
        <v>-241581.75</v>
      </c>
      <c r="J44" s="413">
        <f t="shared" si="3"/>
        <v>-5.0827181133487623E-2</v>
      </c>
      <c r="K44" s="367">
        <f>SC8Q!J33</f>
        <v>5950500</v>
      </c>
    </row>
    <row r="45" spans="1:11" ht="12.75" customHeight="1" x14ac:dyDescent="0.25">
      <c r="A45" s="30" t="s">
        <v>958</v>
      </c>
      <c r="B45" s="90"/>
      <c r="C45" s="366">
        <f>SC8Q!B34</f>
        <v>3279036.61</v>
      </c>
      <c r="D45" s="366">
        <f>SC8Q!C34</f>
        <v>4822100</v>
      </c>
      <c r="E45" s="331">
        <f>SC8Q!D34</f>
        <v>3513000</v>
      </c>
      <c r="F45" s="331">
        <f>SC8Q!E34</f>
        <v>284501.08</v>
      </c>
      <c r="G45" s="331">
        <f>SC8Q!F34</f>
        <v>2828687.54</v>
      </c>
      <c r="H45" s="415">
        <f>SC8Q!G34</f>
        <v>2874626.67</v>
      </c>
      <c r="I45" s="413">
        <f t="shared" si="0"/>
        <v>-45939.129999999888</v>
      </c>
      <c r="J45" s="413">
        <f t="shared" si="3"/>
        <v>-1.5980903008876588E-2</v>
      </c>
      <c r="K45" s="367">
        <f>SC8Q!J34</f>
        <v>3513000</v>
      </c>
    </row>
    <row r="46" spans="1:11" ht="12.75" customHeight="1" x14ac:dyDescent="0.25">
      <c r="A46" s="30" t="s">
        <v>959</v>
      </c>
      <c r="B46" s="90"/>
      <c r="C46" s="366">
        <f>SC8Q!B35</f>
        <v>95441480.709999993</v>
      </c>
      <c r="D46" s="366">
        <f>SC8Q!C35</f>
        <v>96301000</v>
      </c>
      <c r="E46" s="331">
        <f>SC8Q!D35</f>
        <v>96092500</v>
      </c>
      <c r="F46" s="331">
        <f>SC8Q!E35</f>
        <v>6027101.7699999996</v>
      </c>
      <c r="G46" s="331">
        <f>SC8Q!F35</f>
        <v>78808354.930000007</v>
      </c>
      <c r="H46" s="415">
        <f>SC8Q!G35</f>
        <v>79638521.310000002</v>
      </c>
      <c r="I46" s="413">
        <f t="shared" si="0"/>
        <v>-830166.37999999523</v>
      </c>
      <c r="J46" s="413">
        <f t="shared" si="3"/>
        <v>-1.0424181242247066E-2</v>
      </c>
      <c r="K46" s="367">
        <f>SC8Q!J35</f>
        <v>96092500</v>
      </c>
    </row>
    <row r="47" spans="1:11" ht="12.75" customHeight="1" x14ac:dyDescent="0.25">
      <c r="A47" s="30" t="s">
        <v>960</v>
      </c>
      <c r="B47" s="90"/>
      <c r="C47" s="366">
        <f>SC8Q!B36</f>
        <v>27593015.780000001</v>
      </c>
      <c r="D47" s="366">
        <f>SC8Q!C36</f>
        <v>27949700</v>
      </c>
      <c r="E47" s="331">
        <f>SC8Q!D36</f>
        <v>35454300</v>
      </c>
      <c r="F47" s="331">
        <f>SC8Q!E36</f>
        <v>1807831.75</v>
      </c>
      <c r="G47" s="331">
        <f>SC8Q!F36</f>
        <v>23521300.27</v>
      </c>
      <c r="H47" s="415">
        <f>SC8Q!G36</f>
        <v>29138424.02</v>
      </c>
      <c r="I47" s="413">
        <f t="shared" si="0"/>
        <v>-5617123.75</v>
      </c>
      <c r="J47" s="413">
        <f t="shared" si="3"/>
        <v>-0.19277376656144907</v>
      </c>
      <c r="K47" s="367">
        <f>SC8Q!J36</f>
        <v>35454300</v>
      </c>
    </row>
    <row r="48" spans="1:11" ht="12.75" customHeight="1" x14ac:dyDescent="0.25">
      <c r="A48" s="30" t="s">
        <v>961</v>
      </c>
      <c r="B48" s="90"/>
      <c r="C48" s="366">
        <f>SC8Q!B37</f>
        <v>3492908.8</v>
      </c>
      <c r="D48" s="366">
        <f>SC8Q!C37</f>
        <v>720000</v>
      </c>
      <c r="E48" s="331">
        <f>SC8Q!D37</f>
        <v>1310400</v>
      </c>
      <c r="F48" s="331">
        <f>SC8Q!E37</f>
        <v>57167.41</v>
      </c>
      <c r="G48" s="331">
        <f>SC8Q!F37</f>
        <v>646581.89</v>
      </c>
      <c r="H48" s="415">
        <f>SC8Q!G37</f>
        <v>839882.59</v>
      </c>
      <c r="I48" s="413">
        <f t="shared" si="0"/>
        <v>-193300.69999999995</v>
      </c>
      <c r="J48" s="413">
        <f t="shared" si="3"/>
        <v>-0.23015205018120444</v>
      </c>
      <c r="K48" s="367">
        <f>SC8Q!J37</f>
        <v>1310400</v>
      </c>
    </row>
    <row r="49" spans="1:11" ht="12.75" customHeight="1" x14ac:dyDescent="0.25">
      <c r="A49" s="30" t="s">
        <v>962</v>
      </c>
      <c r="B49" s="90">
        <v>2</v>
      </c>
      <c r="C49" s="366">
        <f>SC8Q!B38</f>
        <v>60232422.600000001</v>
      </c>
      <c r="D49" s="366">
        <f>SC8Q!C38</f>
        <v>38021300</v>
      </c>
      <c r="E49" s="331">
        <f>SC8Q!D38</f>
        <v>38028100</v>
      </c>
      <c r="F49" s="331">
        <f>SC8Q!E38</f>
        <v>3197813.34</v>
      </c>
      <c r="G49" s="331">
        <f>SC8Q!F38</f>
        <v>31668372.539999999</v>
      </c>
      <c r="H49" s="415">
        <f>SC8Q!G38</f>
        <v>31632930.739999998</v>
      </c>
      <c r="I49" s="413">
        <f t="shared" si="0"/>
        <v>35441.800000000745</v>
      </c>
      <c r="J49" s="413">
        <f t="shared" si="3"/>
        <v>1.1204083583436172E-3</v>
      </c>
      <c r="K49" s="367">
        <f>SC8Q!J38</f>
        <v>38028100</v>
      </c>
    </row>
    <row r="50" spans="1:11" ht="12.75" customHeight="1" x14ac:dyDescent="0.25">
      <c r="A50" s="612" t="s">
        <v>1331</v>
      </c>
      <c r="B50" s="90"/>
      <c r="C50" s="366"/>
      <c r="D50" s="366">
        <f>SC8Q!C39</f>
        <v>0</v>
      </c>
      <c r="E50" s="331">
        <f>SC8Q!D39</f>
        <v>0</v>
      </c>
      <c r="F50" s="331">
        <f>SC8Q!E39</f>
        <v>0</v>
      </c>
      <c r="G50" s="331">
        <f>SC8Q!F39</f>
        <v>0</v>
      </c>
      <c r="H50" s="415">
        <f>SC8Q!G39</f>
        <v>0</v>
      </c>
      <c r="I50" s="413">
        <f t="shared" si="0"/>
        <v>0</v>
      </c>
      <c r="J50" s="413" t="str">
        <f t="shared" si="3"/>
        <v/>
      </c>
      <c r="K50" s="367">
        <f>SC8Q!J39</f>
        <v>0</v>
      </c>
    </row>
    <row r="51" spans="1:11" ht="12.75" customHeight="1" x14ac:dyDescent="0.25">
      <c r="A51" s="612" t="s">
        <v>1332</v>
      </c>
      <c r="B51" s="90"/>
      <c r="C51" s="379"/>
      <c r="D51" s="366"/>
      <c r="E51" s="331"/>
      <c r="F51" s="331"/>
      <c r="G51" s="331"/>
      <c r="H51" s="331"/>
      <c r="I51" s="412">
        <f t="shared" si="0"/>
        <v>0</v>
      </c>
      <c r="J51" s="413" t="str">
        <f t="shared" si="3"/>
        <v/>
      </c>
      <c r="K51" s="367"/>
    </row>
    <row r="52" spans="1:11" ht="12.75" customHeight="1" x14ac:dyDescent="0.25">
      <c r="A52" s="612" t="s">
        <v>1333</v>
      </c>
      <c r="B52" s="90"/>
      <c r="C52" s="379">
        <f>SC8Q!B40</f>
        <v>1437553.93</v>
      </c>
      <c r="D52" s="366">
        <f>SC8Q!C40</f>
        <v>1868000</v>
      </c>
      <c r="E52" s="331">
        <f>SC8Q!D40</f>
        <v>2288500</v>
      </c>
      <c r="F52" s="331">
        <f>SC8Q!E40</f>
        <v>324576.27</v>
      </c>
      <c r="G52" s="331">
        <f>SC8Q!F40</f>
        <v>1699514.78</v>
      </c>
      <c r="H52" s="331">
        <f>SC8Q!G40</f>
        <v>1744381.5</v>
      </c>
      <c r="I52" s="412">
        <f t="shared" si="0"/>
        <v>-44866.719999999972</v>
      </c>
      <c r="J52" s="413">
        <f t="shared" si="3"/>
        <v>-2.5720703871257505E-2</v>
      </c>
      <c r="K52" s="367">
        <f>SC8Q!J40</f>
        <v>2288500</v>
      </c>
    </row>
    <row r="53" spans="1:11" ht="12.75" customHeight="1" x14ac:dyDescent="0.25">
      <c r="A53" s="612" t="s">
        <v>1334</v>
      </c>
      <c r="B53" s="90"/>
      <c r="C53" s="379"/>
      <c r="D53" s="366"/>
      <c r="E53" s="331"/>
      <c r="F53" s="415"/>
      <c r="G53" s="331"/>
      <c r="H53" s="415"/>
      <c r="I53" s="698">
        <f t="shared" si="0"/>
        <v>0</v>
      </c>
      <c r="J53" s="698" t="str">
        <f t="shared" si="3"/>
        <v/>
      </c>
      <c r="K53" s="367"/>
    </row>
    <row r="54" spans="1:11" ht="12.75" customHeight="1" x14ac:dyDescent="0.25">
      <c r="A54" s="59" t="s">
        <v>393</v>
      </c>
      <c r="B54" s="90"/>
      <c r="C54" s="212">
        <f t="shared" ref="C54:H54" si="5">SUM(C38:C53)</f>
        <v>1139099544.3300002</v>
      </c>
      <c r="D54" s="207">
        <f t="shared" si="5"/>
        <v>1236839000</v>
      </c>
      <c r="E54" s="200">
        <f t="shared" si="5"/>
        <v>1174638900</v>
      </c>
      <c r="F54" s="218">
        <f t="shared" si="5"/>
        <v>91268969.920000002</v>
      </c>
      <c r="G54" s="200">
        <f t="shared" si="5"/>
        <v>933463075.83999979</v>
      </c>
      <c r="H54" s="218">
        <f t="shared" si="5"/>
        <v>956418066.10000002</v>
      </c>
      <c r="I54" s="413">
        <f t="shared" si="0"/>
        <v>-22954990.260000229</v>
      </c>
      <c r="J54" s="413">
        <f t="shared" si="3"/>
        <v>-2.4001000267178274E-2</v>
      </c>
      <c r="K54" s="692">
        <f>SUM(K38:K53)</f>
        <v>1174638900</v>
      </c>
    </row>
    <row r="55" spans="1:11" ht="12.75" customHeight="1" x14ac:dyDescent="0.25">
      <c r="A55" s="66" t="s">
        <v>670</v>
      </c>
      <c r="B55" s="90">
        <v>4</v>
      </c>
      <c r="C55" s="574"/>
      <c r="D55" s="694"/>
      <c r="E55" s="572">
        <f>IF(E54=0,"",(E54/C54)-1)</f>
        <v>3.1199517063193571E-2</v>
      </c>
      <c r="F55" s="693"/>
      <c r="G55" s="572"/>
      <c r="H55" s="693"/>
      <c r="I55" s="413">
        <f t="shared" ref="I55:I76" si="6">G55-H55</f>
        <v>0</v>
      </c>
      <c r="J55" s="698" t="str">
        <f t="shared" si="3"/>
        <v/>
      </c>
      <c r="K55" s="695"/>
    </row>
    <row r="56" spans="1:11" ht="12.75" customHeight="1" x14ac:dyDescent="0.25">
      <c r="A56" s="62" t="s">
        <v>411</v>
      </c>
      <c r="B56" s="127"/>
      <c r="C56" s="137">
        <f t="shared" ref="C56:H56" si="7">C14+C34+C54</f>
        <v>1186593381.2300003</v>
      </c>
      <c r="D56" s="53">
        <f t="shared" si="7"/>
        <v>1292270400</v>
      </c>
      <c r="E56" s="52">
        <f t="shared" si="7"/>
        <v>1235782000</v>
      </c>
      <c r="F56" s="150">
        <f t="shared" si="7"/>
        <v>95495488.170000002</v>
      </c>
      <c r="G56" s="52">
        <f t="shared" si="7"/>
        <v>976776783.18999982</v>
      </c>
      <c r="H56" s="150">
        <f t="shared" si="7"/>
        <v>1002840900.6600001</v>
      </c>
      <c r="I56" s="697">
        <f t="shared" si="6"/>
        <v>-26064117.470000267</v>
      </c>
      <c r="J56" s="701">
        <f t="shared" si="3"/>
        <v>-2.5990281661674029E-2</v>
      </c>
      <c r="K56" s="312">
        <f>K14+K34+K54</f>
        <v>1235782000</v>
      </c>
    </row>
    <row r="57" spans="1:11" ht="12.75" customHeight="1" x14ac:dyDescent="0.25">
      <c r="A57" s="164" t="s">
        <v>816</v>
      </c>
      <c r="B57" s="141"/>
      <c r="C57" s="577"/>
      <c r="D57" s="578"/>
      <c r="E57" s="579"/>
      <c r="F57" s="699"/>
      <c r="G57" s="579"/>
      <c r="H57" s="699"/>
      <c r="I57" s="701">
        <f t="shared" si="6"/>
        <v>0</v>
      </c>
      <c r="J57" s="701" t="str">
        <f t="shared" si="3"/>
        <v/>
      </c>
      <c r="K57" s="700"/>
    </row>
    <row r="58" spans="1:11" ht="12.75" customHeight="1" x14ac:dyDescent="0.25">
      <c r="A58" s="569" t="s">
        <v>510</v>
      </c>
      <c r="B58" s="90"/>
      <c r="C58" s="354"/>
      <c r="D58" s="419"/>
      <c r="E58" s="413"/>
      <c r="F58" s="412"/>
      <c r="G58" s="413"/>
      <c r="H58" s="412"/>
      <c r="I58" s="413">
        <f t="shared" si="6"/>
        <v>0</v>
      </c>
      <c r="J58" s="413" t="str">
        <f t="shared" si="3"/>
        <v/>
      </c>
      <c r="K58" s="353"/>
    </row>
    <row r="59" spans="1:11" ht="12.75" customHeight="1" x14ac:dyDescent="0.25">
      <c r="A59" s="30" t="s">
        <v>445</v>
      </c>
      <c r="B59" s="90"/>
      <c r="C59" s="379"/>
      <c r="D59" s="366"/>
      <c r="E59" s="331"/>
      <c r="F59" s="415"/>
      <c r="G59" s="331"/>
      <c r="H59" s="415"/>
      <c r="I59" s="413"/>
      <c r="J59" s="413" t="str">
        <f t="shared" si="3"/>
        <v/>
      </c>
      <c r="K59" s="367"/>
    </row>
    <row r="60" spans="1:11" ht="12.75" customHeight="1" x14ac:dyDescent="0.25">
      <c r="A60" s="30" t="s">
        <v>955</v>
      </c>
      <c r="B60" s="90"/>
      <c r="C60" s="379"/>
      <c r="D60" s="366"/>
      <c r="E60" s="331"/>
      <c r="F60" s="415"/>
      <c r="G60" s="331"/>
      <c r="H60" s="415"/>
      <c r="I60" s="413">
        <f t="shared" si="6"/>
        <v>0</v>
      </c>
      <c r="J60" s="413" t="str">
        <f t="shared" si="3"/>
        <v/>
      </c>
      <c r="K60" s="367"/>
    </row>
    <row r="61" spans="1:11" ht="12.75" customHeight="1" x14ac:dyDescent="0.25">
      <c r="A61" s="30" t="s">
        <v>388</v>
      </c>
      <c r="B61" s="90"/>
      <c r="C61" s="379"/>
      <c r="D61" s="366"/>
      <c r="E61" s="331"/>
      <c r="F61" s="415"/>
      <c r="G61" s="331"/>
      <c r="H61" s="415"/>
      <c r="I61" s="413">
        <f t="shared" si="6"/>
        <v>0</v>
      </c>
      <c r="J61" s="413" t="str">
        <f t="shared" si="3"/>
        <v/>
      </c>
      <c r="K61" s="367"/>
    </row>
    <row r="62" spans="1:11" ht="12.75" customHeight="1" x14ac:dyDescent="0.25">
      <c r="A62" s="30" t="s">
        <v>495</v>
      </c>
      <c r="B62" s="90"/>
      <c r="C62" s="379"/>
      <c r="D62" s="366"/>
      <c r="E62" s="331"/>
      <c r="F62" s="415"/>
      <c r="G62" s="331"/>
      <c r="H62" s="415"/>
      <c r="I62" s="413">
        <f t="shared" si="6"/>
        <v>0</v>
      </c>
      <c r="J62" s="412" t="str">
        <f t="shared" si="3"/>
        <v/>
      </c>
      <c r="K62" s="367"/>
    </row>
    <row r="63" spans="1:11" ht="12.75" customHeight="1" x14ac:dyDescent="0.25">
      <c r="A63" s="30" t="s">
        <v>390</v>
      </c>
      <c r="B63" s="90"/>
      <c r="C63" s="379"/>
      <c r="D63" s="366"/>
      <c r="E63" s="331"/>
      <c r="F63" s="415"/>
      <c r="G63" s="331"/>
      <c r="H63" s="415"/>
      <c r="I63" s="412">
        <f t="shared" si="6"/>
        <v>0</v>
      </c>
      <c r="J63" s="413" t="str">
        <f t="shared" si="3"/>
        <v/>
      </c>
      <c r="K63" s="367"/>
    </row>
    <row r="64" spans="1:11" ht="12.75" customHeight="1" x14ac:dyDescent="0.25">
      <c r="A64" s="30" t="s">
        <v>956</v>
      </c>
      <c r="B64" s="90"/>
      <c r="C64" s="379"/>
      <c r="D64" s="366"/>
      <c r="E64" s="415"/>
      <c r="F64" s="415"/>
      <c r="G64" s="331"/>
      <c r="H64" s="415"/>
      <c r="I64" s="412">
        <f t="shared" si="6"/>
        <v>0</v>
      </c>
      <c r="J64" s="413" t="str">
        <f t="shared" si="3"/>
        <v/>
      </c>
      <c r="K64" s="367"/>
    </row>
    <row r="65" spans="1:11" ht="12.75" customHeight="1" x14ac:dyDescent="0.25">
      <c r="A65" s="30" t="s">
        <v>957</v>
      </c>
      <c r="B65" s="90"/>
      <c r="C65" s="379"/>
      <c r="D65" s="366"/>
      <c r="E65" s="415"/>
      <c r="F65" s="415"/>
      <c r="G65" s="331"/>
      <c r="H65" s="415"/>
      <c r="I65" s="412">
        <f t="shared" si="6"/>
        <v>0</v>
      </c>
      <c r="J65" s="413" t="str">
        <f t="shared" si="3"/>
        <v/>
      </c>
      <c r="K65" s="367"/>
    </row>
    <row r="66" spans="1:11" ht="12.75" customHeight="1" x14ac:dyDescent="0.25">
      <c r="A66" s="30" t="s">
        <v>958</v>
      </c>
      <c r="B66" s="90"/>
      <c r="C66" s="379"/>
      <c r="D66" s="366"/>
      <c r="E66" s="415"/>
      <c r="F66" s="415"/>
      <c r="G66" s="415"/>
      <c r="H66" s="415"/>
      <c r="I66" s="412">
        <f t="shared" si="6"/>
        <v>0</v>
      </c>
      <c r="J66" s="413" t="str">
        <f t="shared" si="3"/>
        <v/>
      </c>
      <c r="K66" s="367"/>
    </row>
    <row r="67" spans="1:11" ht="12.75" customHeight="1" x14ac:dyDescent="0.25">
      <c r="A67" s="30" t="s">
        <v>959</v>
      </c>
      <c r="B67" s="90"/>
      <c r="C67" s="379"/>
      <c r="D67" s="366"/>
      <c r="E67" s="415"/>
      <c r="F67" s="415"/>
      <c r="G67" s="415"/>
      <c r="H67" s="415"/>
      <c r="I67" s="412">
        <f t="shared" si="6"/>
        <v>0</v>
      </c>
      <c r="J67" s="413" t="str">
        <f t="shared" si="3"/>
        <v/>
      </c>
      <c r="K67" s="367"/>
    </row>
    <row r="68" spans="1:11" ht="12.75" customHeight="1" x14ac:dyDescent="0.25">
      <c r="A68" s="66" t="s">
        <v>511</v>
      </c>
      <c r="B68" s="90">
        <v>5</v>
      </c>
      <c r="C68" s="379"/>
      <c r="D68" s="366"/>
      <c r="E68" s="415"/>
      <c r="F68" s="415"/>
      <c r="G68" s="415"/>
      <c r="H68" s="415"/>
      <c r="I68" s="412">
        <f t="shared" si="6"/>
        <v>0</v>
      </c>
      <c r="J68" s="413" t="str">
        <f t="shared" si="3"/>
        <v/>
      </c>
      <c r="K68" s="367"/>
    </row>
    <row r="69" spans="1:11" ht="12.75" customHeight="1" x14ac:dyDescent="0.25">
      <c r="A69" s="30" t="s">
        <v>960</v>
      </c>
      <c r="B69" s="90"/>
      <c r="C69" s="379"/>
      <c r="D69" s="366"/>
      <c r="E69" s="415"/>
      <c r="F69" s="415"/>
      <c r="G69" s="415"/>
      <c r="H69" s="415"/>
      <c r="I69" s="412">
        <f t="shared" si="6"/>
        <v>0</v>
      </c>
      <c r="J69" s="413" t="str">
        <f t="shared" si="3"/>
        <v/>
      </c>
      <c r="K69" s="367"/>
    </row>
    <row r="70" spans="1:11" ht="12.75" customHeight="1" x14ac:dyDescent="0.25">
      <c r="A70" s="30" t="s">
        <v>961</v>
      </c>
      <c r="B70" s="90"/>
      <c r="C70" s="379"/>
      <c r="D70" s="366"/>
      <c r="E70" s="415"/>
      <c r="F70" s="415"/>
      <c r="G70" s="415"/>
      <c r="H70" s="415"/>
      <c r="I70" s="412">
        <f t="shared" si="6"/>
        <v>0</v>
      </c>
      <c r="J70" s="413" t="str">
        <f t="shared" si="3"/>
        <v/>
      </c>
      <c r="K70" s="367"/>
    </row>
    <row r="71" spans="1:11" ht="12.75" customHeight="1" x14ac:dyDescent="0.25">
      <c r="A71" s="30" t="s">
        <v>962</v>
      </c>
      <c r="B71" s="90"/>
      <c r="C71" s="379"/>
      <c r="D71" s="366"/>
      <c r="E71" s="415"/>
      <c r="F71" s="415"/>
      <c r="G71" s="415"/>
      <c r="H71" s="331"/>
      <c r="I71" s="412">
        <f t="shared" si="6"/>
        <v>0</v>
      </c>
      <c r="J71" s="413" t="str">
        <f t="shared" si="3"/>
        <v/>
      </c>
      <c r="K71" s="367"/>
    </row>
    <row r="72" spans="1:11" ht="12.75" customHeight="1" x14ac:dyDescent="0.25">
      <c r="A72" s="612" t="s">
        <v>1331</v>
      </c>
      <c r="B72" s="90"/>
      <c r="C72" s="379"/>
      <c r="D72" s="366"/>
      <c r="E72" s="415"/>
      <c r="F72" s="415"/>
      <c r="G72" s="415"/>
      <c r="H72" s="331"/>
      <c r="I72" s="412">
        <f t="shared" si="6"/>
        <v>0</v>
      </c>
      <c r="J72" s="413" t="str">
        <f t="shared" si="3"/>
        <v/>
      </c>
      <c r="K72" s="367"/>
    </row>
    <row r="73" spans="1:11" ht="12.75" customHeight="1" x14ac:dyDescent="0.25">
      <c r="A73" s="612" t="s">
        <v>1332</v>
      </c>
      <c r="B73" s="90"/>
      <c r="C73" s="379"/>
      <c r="D73" s="366"/>
      <c r="E73" s="415"/>
      <c r="F73" s="415"/>
      <c r="G73" s="415"/>
      <c r="H73" s="331"/>
      <c r="I73" s="412">
        <f t="shared" si="6"/>
        <v>0</v>
      </c>
      <c r="J73" s="413" t="str">
        <f t="shared" si="3"/>
        <v/>
      </c>
      <c r="K73" s="367"/>
    </row>
    <row r="74" spans="1:11" ht="12.75" customHeight="1" x14ac:dyDescent="0.25">
      <c r="A74" s="612" t="s">
        <v>1333</v>
      </c>
      <c r="B74" s="90"/>
      <c r="C74" s="379"/>
      <c r="D74" s="366"/>
      <c r="E74" s="415"/>
      <c r="F74" s="415"/>
      <c r="G74" s="415"/>
      <c r="H74" s="331"/>
      <c r="I74" s="412">
        <f t="shared" si="6"/>
        <v>0</v>
      </c>
      <c r="J74" s="413" t="str">
        <f t="shared" si="3"/>
        <v/>
      </c>
      <c r="K74" s="367"/>
    </row>
    <row r="75" spans="1:11" ht="12.75" customHeight="1" x14ac:dyDescent="0.25">
      <c r="A75" s="612" t="s">
        <v>1334</v>
      </c>
      <c r="B75" s="90"/>
      <c r="C75" s="379"/>
      <c r="D75" s="391"/>
      <c r="E75" s="702"/>
      <c r="F75" s="415"/>
      <c r="G75" s="415"/>
      <c r="H75" s="392"/>
      <c r="I75" s="412">
        <f t="shared" si="6"/>
        <v>0</v>
      </c>
      <c r="J75" s="413" t="str">
        <f t="shared" si="3"/>
        <v/>
      </c>
      <c r="K75" s="367"/>
    </row>
    <row r="76" spans="1:11" ht="12.75" customHeight="1" x14ac:dyDescent="0.25">
      <c r="A76" s="59" t="s">
        <v>1335</v>
      </c>
      <c r="B76" s="90">
        <v>2</v>
      </c>
      <c r="C76" s="212">
        <f t="shared" ref="C76:H76" si="8">SUM(C59:C75)</f>
        <v>0</v>
      </c>
      <c r="D76" s="207">
        <f t="shared" si="8"/>
        <v>0</v>
      </c>
      <c r="E76" s="200">
        <f t="shared" si="8"/>
        <v>0</v>
      </c>
      <c r="F76" s="200">
        <f t="shared" si="8"/>
        <v>0</v>
      </c>
      <c r="G76" s="218">
        <f t="shared" si="8"/>
        <v>0</v>
      </c>
      <c r="H76" s="218">
        <f t="shared" si="8"/>
        <v>0</v>
      </c>
      <c r="I76" s="697">
        <f t="shared" si="6"/>
        <v>0</v>
      </c>
      <c r="J76" s="697" t="str">
        <f t="shared" si="3"/>
        <v/>
      </c>
      <c r="K76" s="692">
        <f>SUM(K59:K75)</f>
        <v>0</v>
      </c>
    </row>
    <row r="77" spans="1:11" ht="12.75" customHeight="1" x14ac:dyDescent="0.25">
      <c r="A77" s="66" t="s">
        <v>670</v>
      </c>
      <c r="B77" s="90">
        <v>4</v>
      </c>
      <c r="C77" s="571"/>
      <c r="D77" s="572" t="str">
        <f>IF(D76=0,"",(D76/C76)-1)</f>
        <v/>
      </c>
      <c r="E77" s="572" t="str">
        <f>IF(E76=0,"",(E76/C76)-1)</f>
        <v/>
      </c>
      <c r="F77" s="572"/>
      <c r="G77" s="693"/>
      <c r="H77" s="693"/>
      <c r="I77" s="572"/>
      <c r="J77" s="413" t="str">
        <f t="shared" si="3"/>
        <v/>
      </c>
      <c r="K77" s="695" t="str">
        <f>IF(K76=0,"",(K76/C76)-1)</f>
        <v/>
      </c>
    </row>
    <row r="78" spans="1:11" ht="5.0999999999999996" customHeight="1" x14ac:dyDescent="0.25">
      <c r="A78" s="32"/>
      <c r="B78" s="90"/>
      <c r="C78" s="354"/>
      <c r="D78" s="419"/>
      <c r="E78" s="413"/>
      <c r="F78" s="413"/>
      <c r="G78" s="412"/>
      <c r="H78" s="412"/>
      <c r="I78" s="413"/>
      <c r="J78" s="413" t="str">
        <f t="shared" si="3"/>
        <v/>
      </c>
      <c r="K78" s="353"/>
    </row>
    <row r="79" spans="1:11" ht="12.75" customHeight="1" x14ac:dyDescent="0.25">
      <c r="A79" s="569" t="s">
        <v>771</v>
      </c>
      <c r="B79" s="90"/>
      <c r="C79" s="354"/>
      <c r="D79" s="419"/>
      <c r="E79" s="413"/>
      <c r="F79" s="412"/>
      <c r="G79" s="412"/>
      <c r="H79" s="412"/>
      <c r="I79" s="412"/>
      <c r="J79" s="413" t="str">
        <f t="shared" si="3"/>
        <v/>
      </c>
      <c r="K79" s="353"/>
    </row>
    <row r="80" spans="1:11" ht="12.75" customHeight="1" x14ac:dyDescent="0.25">
      <c r="A80" s="30" t="s">
        <v>445</v>
      </c>
      <c r="B80" s="90"/>
      <c r="C80" s="379"/>
      <c r="D80" s="366"/>
      <c r="E80" s="415"/>
      <c r="F80" s="415"/>
      <c r="G80" s="415"/>
      <c r="H80" s="415"/>
      <c r="I80" s="412"/>
      <c r="J80" s="413" t="str">
        <f t="shared" si="3"/>
        <v/>
      </c>
      <c r="K80" s="367"/>
    </row>
    <row r="81" spans="1:11" ht="12.75" customHeight="1" x14ac:dyDescent="0.25">
      <c r="A81" s="30" t="s">
        <v>955</v>
      </c>
      <c r="B81" s="90"/>
      <c r="C81" s="379"/>
      <c r="D81" s="366"/>
      <c r="E81" s="415"/>
      <c r="F81" s="415"/>
      <c r="G81" s="415"/>
      <c r="H81" s="415"/>
      <c r="I81" s="412"/>
      <c r="J81" s="413" t="str">
        <f t="shared" si="3"/>
        <v/>
      </c>
      <c r="K81" s="367"/>
    </row>
    <row r="82" spans="1:11" ht="12.75" customHeight="1" x14ac:dyDescent="0.25">
      <c r="A82" s="30" t="s">
        <v>388</v>
      </c>
      <c r="B82" s="90"/>
      <c r="C82" s="379"/>
      <c r="D82" s="366"/>
      <c r="E82" s="415"/>
      <c r="F82" s="415"/>
      <c r="G82" s="415"/>
      <c r="H82" s="415"/>
      <c r="I82" s="412"/>
      <c r="J82" s="413" t="str">
        <f t="shared" si="3"/>
        <v/>
      </c>
      <c r="K82" s="367"/>
    </row>
    <row r="83" spans="1:11" ht="12.75" customHeight="1" x14ac:dyDescent="0.25">
      <c r="A83" s="30" t="s">
        <v>495</v>
      </c>
      <c r="B83" s="90"/>
      <c r="C83" s="379"/>
      <c r="D83" s="366"/>
      <c r="E83" s="415"/>
      <c r="F83" s="415"/>
      <c r="G83" s="415"/>
      <c r="H83" s="415"/>
      <c r="I83" s="412"/>
      <c r="J83" s="413" t="str">
        <f t="shared" si="3"/>
        <v/>
      </c>
      <c r="K83" s="367"/>
    </row>
    <row r="84" spans="1:11" ht="12.75" customHeight="1" x14ac:dyDescent="0.25">
      <c r="A84" s="30" t="s">
        <v>390</v>
      </c>
      <c r="B84" s="90"/>
      <c r="C84" s="379"/>
      <c r="D84" s="366"/>
      <c r="E84" s="415"/>
      <c r="F84" s="415"/>
      <c r="G84" s="415"/>
      <c r="H84" s="415"/>
      <c r="I84" s="412"/>
      <c r="J84" s="413" t="str">
        <f t="shared" si="3"/>
        <v/>
      </c>
      <c r="K84" s="367"/>
    </row>
    <row r="85" spans="1:11" ht="12.75" customHeight="1" x14ac:dyDescent="0.25">
      <c r="A85" s="30" t="s">
        <v>956</v>
      </c>
      <c r="B85" s="90"/>
      <c r="C85" s="379"/>
      <c r="D85" s="366"/>
      <c r="E85" s="415"/>
      <c r="F85" s="415"/>
      <c r="G85" s="415"/>
      <c r="H85" s="415"/>
      <c r="I85" s="412"/>
      <c r="J85" s="413" t="str">
        <f t="shared" si="3"/>
        <v/>
      </c>
      <c r="K85" s="367"/>
    </row>
    <row r="86" spans="1:11" ht="12.75" customHeight="1" x14ac:dyDescent="0.25">
      <c r="A86" s="30" t="s">
        <v>957</v>
      </c>
      <c r="B86" s="90"/>
      <c r="C86" s="379"/>
      <c r="D86" s="366"/>
      <c r="E86" s="415"/>
      <c r="F86" s="415"/>
      <c r="G86" s="415"/>
      <c r="H86" s="415"/>
      <c r="I86" s="412"/>
      <c r="J86" s="413" t="str">
        <f t="shared" si="3"/>
        <v/>
      </c>
      <c r="K86" s="367"/>
    </row>
    <row r="87" spans="1:11" ht="12.75" customHeight="1" x14ac:dyDescent="0.25">
      <c r="A87" s="30" t="s">
        <v>958</v>
      </c>
      <c r="B87" s="90"/>
      <c r="C87" s="379"/>
      <c r="D87" s="366"/>
      <c r="E87" s="415"/>
      <c r="F87" s="415"/>
      <c r="G87" s="415"/>
      <c r="H87" s="415"/>
      <c r="I87" s="412"/>
      <c r="J87" s="413" t="str">
        <f t="shared" ref="J87:J116" si="9">IF(H87=0,"",I87/H87)</f>
        <v/>
      </c>
      <c r="K87" s="367"/>
    </row>
    <row r="88" spans="1:11" ht="12.75" customHeight="1" x14ac:dyDescent="0.25">
      <c r="A88" s="30" t="s">
        <v>959</v>
      </c>
      <c r="B88" s="90"/>
      <c r="C88" s="379"/>
      <c r="D88" s="366"/>
      <c r="E88" s="415"/>
      <c r="F88" s="415"/>
      <c r="G88" s="415"/>
      <c r="H88" s="415"/>
      <c r="I88" s="412"/>
      <c r="J88" s="413" t="str">
        <f t="shared" si="9"/>
        <v/>
      </c>
      <c r="K88" s="367"/>
    </row>
    <row r="89" spans="1:11" ht="12.75" customHeight="1" x14ac:dyDescent="0.25">
      <c r="A89" s="30" t="s">
        <v>960</v>
      </c>
      <c r="B89" s="90"/>
      <c r="C89" s="379"/>
      <c r="D89" s="366"/>
      <c r="E89" s="415"/>
      <c r="F89" s="415"/>
      <c r="G89" s="415"/>
      <c r="H89" s="415"/>
      <c r="I89" s="412"/>
      <c r="J89" s="413" t="str">
        <f t="shared" si="9"/>
        <v/>
      </c>
      <c r="K89" s="332"/>
    </row>
    <row r="90" spans="1:11" ht="12.75" customHeight="1" x14ac:dyDescent="0.25">
      <c r="A90" s="30" t="s">
        <v>961</v>
      </c>
      <c r="B90" s="90"/>
      <c r="C90" s="379"/>
      <c r="D90" s="366"/>
      <c r="E90" s="415"/>
      <c r="F90" s="415"/>
      <c r="G90" s="415"/>
      <c r="H90" s="415"/>
      <c r="I90" s="412"/>
      <c r="J90" s="413" t="str">
        <f t="shared" si="9"/>
        <v/>
      </c>
      <c r="K90" s="367"/>
    </row>
    <row r="91" spans="1:11" ht="12.75" customHeight="1" x14ac:dyDescent="0.25">
      <c r="A91" s="30" t="s">
        <v>962</v>
      </c>
      <c r="B91" s="90">
        <v>2</v>
      </c>
      <c r="C91" s="379"/>
      <c r="D91" s="366"/>
      <c r="E91" s="415"/>
      <c r="F91" s="415"/>
      <c r="G91" s="415"/>
      <c r="H91" s="415"/>
      <c r="I91" s="412"/>
      <c r="J91" s="413" t="str">
        <f t="shared" si="9"/>
        <v/>
      </c>
      <c r="K91" s="367"/>
    </row>
    <row r="92" spans="1:11" ht="12.75" customHeight="1" x14ac:dyDescent="0.25">
      <c r="A92" s="612" t="s">
        <v>1331</v>
      </c>
      <c r="B92" s="90"/>
      <c r="C92" s="379"/>
      <c r="D92" s="366"/>
      <c r="E92" s="415"/>
      <c r="F92" s="415"/>
      <c r="G92" s="415"/>
      <c r="H92" s="415"/>
      <c r="I92" s="412"/>
      <c r="J92" s="413" t="str">
        <f t="shared" si="9"/>
        <v/>
      </c>
      <c r="K92" s="367"/>
    </row>
    <row r="93" spans="1:11" ht="12.75" customHeight="1" x14ac:dyDescent="0.25">
      <c r="A93" s="612" t="s">
        <v>1332</v>
      </c>
      <c r="B93" s="90"/>
      <c r="C93" s="379"/>
      <c r="D93" s="366"/>
      <c r="E93" s="415"/>
      <c r="F93" s="415"/>
      <c r="G93" s="415"/>
      <c r="H93" s="415"/>
      <c r="I93" s="412"/>
      <c r="J93" s="413" t="str">
        <f t="shared" si="9"/>
        <v/>
      </c>
      <c r="K93" s="367"/>
    </row>
    <row r="94" spans="1:11" ht="12.75" customHeight="1" x14ac:dyDescent="0.25">
      <c r="A94" s="612" t="s">
        <v>1333</v>
      </c>
      <c r="B94" s="90"/>
      <c r="C94" s="379"/>
      <c r="D94" s="366"/>
      <c r="E94" s="415"/>
      <c r="F94" s="415"/>
      <c r="G94" s="415"/>
      <c r="H94" s="415"/>
      <c r="I94" s="412"/>
      <c r="J94" s="413" t="str">
        <f t="shared" si="9"/>
        <v/>
      </c>
      <c r="K94" s="367"/>
    </row>
    <row r="95" spans="1:11" ht="12.75" customHeight="1" x14ac:dyDescent="0.25">
      <c r="A95" s="612" t="s">
        <v>1334</v>
      </c>
      <c r="B95" s="90"/>
      <c r="C95" s="379"/>
      <c r="D95" s="366"/>
      <c r="E95" s="415"/>
      <c r="F95" s="415"/>
      <c r="G95" s="415"/>
      <c r="H95" s="415"/>
      <c r="I95" s="412"/>
      <c r="J95" s="698" t="str">
        <f t="shared" si="9"/>
        <v/>
      </c>
      <c r="K95" s="367"/>
    </row>
    <row r="96" spans="1:11" ht="12.75" customHeight="1" x14ac:dyDescent="0.25">
      <c r="A96" s="59" t="s">
        <v>772</v>
      </c>
      <c r="B96" s="90"/>
      <c r="C96" s="212">
        <f t="shared" ref="C96:H96" si="10">SUM(C80:C95)</f>
        <v>0</v>
      </c>
      <c r="D96" s="207">
        <f t="shared" si="10"/>
        <v>0</v>
      </c>
      <c r="E96" s="218">
        <f t="shared" si="10"/>
        <v>0</v>
      </c>
      <c r="F96" s="218">
        <f t="shared" si="10"/>
        <v>0</v>
      </c>
      <c r="G96" s="218">
        <f t="shared" si="10"/>
        <v>0</v>
      </c>
      <c r="H96" s="218">
        <f t="shared" si="10"/>
        <v>0</v>
      </c>
      <c r="I96" s="697"/>
      <c r="J96" s="413" t="str">
        <f t="shared" si="9"/>
        <v/>
      </c>
      <c r="K96" s="692">
        <f>SUM(K80:K95)</f>
        <v>0</v>
      </c>
    </row>
    <row r="97" spans="1:11" ht="12.75" customHeight="1" x14ac:dyDescent="0.25">
      <c r="A97" s="66" t="s">
        <v>670</v>
      </c>
      <c r="B97" s="90">
        <v>4</v>
      </c>
      <c r="C97" s="571"/>
      <c r="D97" s="694" t="str">
        <f>IF(D96=0,"",(D96/C96)-1)</f>
        <v/>
      </c>
      <c r="E97" s="693" t="str">
        <f>IF(E96=0,"",(E96/C96)-1)</f>
        <v/>
      </c>
      <c r="F97" s="693"/>
      <c r="G97" s="693"/>
      <c r="H97" s="693"/>
      <c r="I97" s="412"/>
      <c r="J97" s="413" t="str">
        <f t="shared" si="9"/>
        <v/>
      </c>
      <c r="K97" s="695" t="str">
        <f>IF(K96=0,"",(K96/C96)-1)</f>
        <v/>
      </c>
    </row>
    <row r="98" spans="1:11" ht="5.0999999999999996" customHeight="1" x14ac:dyDescent="0.25">
      <c r="A98" s="32"/>
      <c r="B98" s="90"/>
      <c r="C98" s="354"/>
      <c r="D98" s="419"/>
      <c r="E98" s="412"/>
      <c r="F98" s="412"/>
      <c r="G98" s="412"/>
      <c r="H98" s="412"/>
      <c r="I98" s="412"/>
      <c r="J98" s="413" t="str">
        <f t="shared" si="9"/>
        <v/>
      </c>
      <c r="K98" s="353"/>
    </row>
    <row r="99" spans="1:11" ht="12.75" customHeight="1" x14ac:dyDescent="0.25">
      <c r="A99" s="569" t="s">
        <v>665</v>
      </c>
      <c r="B99" s="90"/>
      <c r="C99" s="354"/>
      <c r="D99" s="419"/>
      <c r="E99" s="412"/>
      <c r="F99" s="412"/>
      <c r="G99" s="412"/>
      <c r="H99" s="412"/>
      <c r="I99" s="412"/>
      <c r="J99" s="413" t="str">
        <f t="shared" si="9"/>
        <v/>
      </c>
      <c r="K99" s="353"/>
    </row>
    <row r="100" spans="1:11" ht="12.75" customHeight="1" x14ac:dyDescent="0.25">
      <c r="A100" s="30" t="s">
        <v>445</v>
      </c>
      <c r="B100" s="90"/>
      <c r="C100" s="379"/>
      <c r="D100" s="366"/>
      <c r="E100" s="415"/>
      <c r="F100" s="415"/>
      <c r="G100" s="415"/>
      <c r="H100" s="415"/>
      <c r="I100" s="412"/>
      <c r="J100" s="413" t="str">
        <f t="shared" si="9"/>
        <v/>
      </c>
      <c r="K100" s="367"/>
    </row>
    <row r="101" spans="1:11" ht="12.75" customHeight="1" x14ac:dyDescent="0.25">
      <c r="A101" s="30" t="s">
        <v>955</v>
      </c>
      <c r="B101" s="90"/>
      <c r="C101" s="379"/>
      <c r="D101" s="366"/>
      <c r="E101" s="415"/>
      <c r="F101" s="415"/>
      <c r="G101" s="415"/>
      <c r="H101" s="415"/>
      <c r="I101" s="412"/>
      <c r="J101" s="413" t="str">
        <f t="shared" si="9"/>
        <v/>
      </c>
      <c r="K101" s="367"/>
    </row>
    <row r="102" spans="1:11" ht="12.75" customHeight="1" x14ac:dyDescent="0.25">
      <c r="A102" s="30" t="s">
        <v>388</v>
      </c>
      <c r="B102" s="90"/>
      <c r="C102" s="379"/>
      <c r="D102" s="366"/>
      <c r="E102" s="415"/>
      <c r="F102" s="415"/>
      <c r="G102" s="415"/>
      <c r="H102" s="415"/>
      <c r="I102" s="412"/>
      <c r="J102" s="413" t="str">
        <f t="shared" si="9"/>
        <v/>
      </c>
      <c r="K102" s="367"/>
    </row>
    <row r="103" spans="1:11" ht="12.75" customHeight="1" x14ac:dyDescent="0.25">
      <c r="A103" s="30" t="s">
        <v>495</v>
      </c>
      <c r="B103" s="90"/>
      <c r="C103" s="379"/>
      <c r="D103" s="366"/>
      <c r="E103" s="415"/>
      <c r="F103" s="415"/>
      <c r="G103" s="415"/>
      <c r="H103" s="415"/>
      <c r="I103" s="412"/>
      <c r="J103" s="413" t="str">
        <f t="shared" si="9"/>
        <v/>
      </c>
      <c r="K103" s="367"/>
    </row>
    <row r="104" spans="1:11" ht="12.75" customHeight="1" x14ac:dyDescent="0.25">
      <c r="A104" s="30" t="s">
        <v>390</v>
      </c>
      <c r="B104" s="90"/>
      <c r="C104" s="379"/>
      <c r="D104" s="366"/>
      <c r="E104" s="415"/>
      <c r="F104" s="415"/>
      <c r="G104" s="415"/>
      <c r="H104" s="415"/>
      <c r="I104" s="412"/>
      <c r="J104" s="413" t="str">
        <f t="shared" si="9"/>
        <v/>
      </c>
      <c r="K104" s="367"/>
    </row>
    <row r="105" spans="1:11" ht="12.75" customHeight="1" x14ac:dyDescent="0.25">
      <c r="A105" s="30" t="s">
        <v>956</v>
      </c>
      <c r="B105" s="90"/>
      <c r="C105" s="379"/>
      <c r="D105" s="366"/>
      <c r="E105" s="415"/>
      <c r="F105" s="415"/>
      <c r="G105" s="415"/>
      <c r="H105" s="415"/>
      <c r="I105" s="412"/>
      <c r="J105" s="413" t="str">
        <f t="shared" si="9"/>
        <v/>
      </c>
      <c r="K105" s="367"/>
    </row>
    <row r="106" spans="1:11" ht="12.75" customHeight="1" x14ac:dyDescent="0.25">
      <c r="A106" s="30" t="s">
        <v>957</v>
      </c>
      <c r="B106" s="90"/>
      <c r="C106" s="379"/>
      <c r="D106" s="366"/>
      <c r="E106" s="415"/>
      <c r="F106" s="415"/>
      <c r="G106" s="415"/>
      <c r="H106" s="415"/>
      <c r="I106" s="412"/>
      <c r="J106" s="413" t="str">
        <f t="shared" si="9"/>
        <v/>
      </c>
      <c r="K106" s="367"/>
    </row>
    <row r="107" spans="1:11" ht="12.75" customHeight="1" x14ac:dyDescent="0.25">
      <c r="A107" s="30" t="s">
        <v>958</v>
      </c>
      <c r="B107" s="90"/>
      <c r="C107" s="379"/>
      <c r="D107" s="366"/>
      <c r="E107" s="415"/>
      <c r="F107" s="415"/>
      <c r="G107" s="415"/>
      <c r="H107" s="415"/>
      <c r="I107" s="412"/>
      <c r="J107" s="413" t="str">
        <f t="shared" si="9"/>
        <v/>
      </c>
      <c r="K107" s="367"/>
    </row>
    <row r="108" spans="1:11" ht="12.75" customHeight="1" x14ac:dyDescent="0.25">
      <c r="A108" s="30" t="s">
        <v>959</v>
      </c>
      <c r="B108" s="90"/>
      <c r="C108" s="379"/>
      <c r="D108" s="366"/>
      <c r="E108" s="415"/>
      <c r="F108" s="415"/>
      <c r="G108" s="415"/>
      <c r="H108" s="415"/>
      <c r="I108" s="412"/>
      <c r="J108" s="413" t="str">
        <f t="shared" si="9"/>
        <v/>
      </c>
      <c r="K108" s="367"/>
    </row>
    <row r="109" spans="1:11" ht="12.75" customHeight="1" x14ac:dyDescent="0.25">
      <c r="A109" s="30" t="s">
        <v>960</v>
      </c>
      <c r="B109" s="90"/>
      <c r="C109" s="379"/>
      <c r="D109" s="366"/>
      <c r="E109" s="415"/>
      <c r="F109" s="415"/>
      <c r="G109" s="415"/>
      <c r="H109" s="415"/>
      <c r="I109" s="412"/>
      <c r="J109" s="413" t="str">
        <f t="shared" si="9"/>
        <v/>
      </c>
      <c r="K109" s="367"/>
    </row>
    <row r="110" spans="1:11" ht="12.75" customHeight="1" x14ac:dyDescent="0.25">
      <c r="A110" s="30" t="s">
        <v>961</v>
      </c>
      <c r="B110" s="90"/>
      <c r="C110" s="379"/>
      <c r="D110" s="366"/>
      <c r="E110" s="415"/>
      <c r="F110" s="415"/>
      <c r="G110" s="415"/>
      <c r="H110" s="415"/>
      <c r="I110" s="412"/>
      <c r="J110" s="413" t="str">
        <f t="shared" si="9"/>
        <v/>
      </c>
      <c r="K110" s="367"/>
    </row>
    <row r="111" spans="1:11" ht="12.75" customHeight="1" x14ac:dyDescent="0.25">
      <c r="A111" s="30" t="s">
        <v>962</v>
      </c>
      <c r="B111" s="90"/>
      <c r="C111" s="379"/>
      <c r="D111" s="366"/>
      <c r="E111" s="415"/>
      <c r="F111" s="415"/>
      <c r="G111" s="415"/>
      <c r="H111" s="415"/>
      <c r="I111" s="412"/>
      <c r="J111" s="413" t="str">
        <f t="shared" si="9"/>
        <v/>
      </c>
      <c r="K111" s="367"/>
    </row>
    <row r="112" spans="1:11" ht="12.75" customHeight="1" x14ac:dyDescent="0.25">
      <c r="A112" s="612" t="s">
        <v>1331</v>
      </c>
      <c r="B112" s="90"/>
      <c r="C112" s="379"/>
      <c r="D112" s="366"/>
      <c r="E112" s="415"/>
      <c r="F112" s="415"/>
      <c r="G112" s="415"/>
      <c r="H112" s="415"/>
      <c r="I112" s="412"/>
      <c r="J112" s="413" t="str">
        <f t="shared" si="9"/>
        <v/>
      </c>
      <c r="K112" s="367"/>
    </row>
    <row r="113" spans="1:11" ht="12.75" customHeight="1" x14ac:dyDescent="0.25">
      <c r="A113" s="612" t="s">
        <v>1332</v>
      </c>
      <c r="B113" s="90"/>
      <c r="C113" s="379"/>
      <c r="D113" s="366"/>
      <c r="E113" s="415"/>
      <c r="F113" s="415"/>
      <c r="G113" s="415"/>
      <c r="H113" s="415"/>
      <c r="I113" s="412"/>
      <c r="J113" s="413" t="str">
        <f t="shared" si="9"/>
        <v/>
      </c>
      <c r="K113" s="367"/>
    </row>
    <row r="114" spans="1:11" ht="12.75" customHeight="1" x14ac:dyDescent="0.25">
      <c r="A114" s="612" t="s">
        <v>1333</v>
      </c>
      <c r="B114" s="90"/>
      <c r="C114" s="379"/>
      <c r="D114" s="366"/>
      <c r="E114" s="415"/>
      <c r="F114" s="415"/>
      <c r="G114" s="415"/>
      <c r="H114" s="415"/>
      <c r="I114" s="412"/>
      <c r="J114" s="413" t="str">
        <f t="shared" si="9"/>
        <v/>
      </c>
      <c r="K114" s="367"/>
    </row>
    <row r="115" spans="1:11" ht="12.75" customHeight="1" x14ac:dyDescent="0.25">
      <c r="A115" s="612" t="s">
        <v>1334</v>
      </c>
      <c r="B115" s="90"/>
      <c r="C115" s="379"/>
      <c r="D115" s="391"/>
      <c r="E115" s="702"/>
      <c r="F115" s="415"/>
      <c r="G115" s="415"/>
      <c r="H115" s="415"/>
      <c r="I115" s="412"/>
      <c r="J115" s="413" t="str">
        <f t="shared" si="9"/>
        <v/>
      </c>
      <c r="K115" s="367"/>
    </row>
    <row r="116" spans="1:11" ht="12.75" customHeight="1" x14ac:dyDescent="0.25">
      <c r="A116" s="59" t="s">
        <v>464</v>
      </c>
      <c r="B116" s="90"/>
      <c r="C116" s="212">
        <f t="shared" ref="C116:H116" si="11">SUM(C100:C115)</f>
        <v>0</v>
      </c>
      <c r="D116" s="207">
        <f t="shared" si="11"/>
        <v>0</v>
      </c>
      <c r="E116" s="200">
        <f t="shared" si="11"/>
        <v>0</v>
      </c>
      <c r="F116" s="200">
        <f t="shared" si="11"/>
        <v>0</v>
      </c>
      <c r="G116" s="218">
        <f t="shared" si="11"/>
        <v>0</v>
      </c>
      <c r="H116" s="218">
        <f t="shared" si="11"/>
        <v>0</v>
      </c>
      <c r="I116" s="218">
        <f t="shared" ref="I116" si="12">G116-H116</f>
        <v>0</v>
      </c>
      <c r="J116" s="697" t="str">
        <f t="shared" si="9"/>
        <v/>
      </c>
      <c r="K116" s="692">
        <f>SUM(K100:K115)</f>
        <v>0</v>
      </c>
    </row>
    <row r="117" spans="1:11" ht="12.75" customHeight="1" x14ac:dyDescent="0.25">
      <c r="A117" s="66" t="s">
        <v>670</v>
      </c>
      <c r="B117" s="90">
        <v>4</v>
      </c>
      <c r="C117" s="574"/>
      <c r="D117" s="572" t="str">
        <f>IF(D116=0,"",(D116/C116)-1)</f>
        <v/>
      </c>
      <c r="E117" s="572" t="str">
        <f>IF(E116=0,"",(E116/C116)-1)</f>
        <v/>
      </c>
      <c r="F117" s="572"/>
      <c r="G117" s="693"/>
      <c r="H117" s="693"/>
      <c r="I117" s="575"/>
      <c r="J117" s="576"/>
      <c r="K117" s="573" t="str">
        <f>IF(K116=0,"",(K116/C116)-1)</f>
        <v/>
      </c>
    </row>
    <row r="118" spans="1:11" ht="12.75" customHeight="1" x14ac:dyDescent="0.25">
      <c r="A118" s="59" t="s">
        <v>412</v>
      </c>
      <c r="B118" s="90"/>
      <c r="C118" s="212">
        <f t="shared" ref="C118:H118" si="13">C76+C96+C116</f>
        <v>0</v>
      </c>
      <c r="D118" s="207">
        <f t="shared" si="13"/>
        <v>0</v>
      </c>
      <c r="E118" s="200">
        <f t="shared" si="13"/>
        <v>0</v>
      </c>
      <c r="F118" s="200">
        <f t="shared" si="13"/>
        <v>0</v>
      </c>
      <c r="G118" s="218">
        <f t="shared" si="13"/>
        <v>0</v>
      </c>
      <c r="H118" s="218">
        <f t="shared" si="13"/>
        <v>0</v>
      </c>
      <c r="I118" s="200">
        <f>G118-H118</f>
        <v>0</v>
      </c>
      <c r="J118" s="570" t="str">
        <f>IF(I118=0,"",I118/H118)</f>
        <v/>
      </c>
      <c r="K118" s="211">
        <f>K76+K96+K116</f>
        <v>0</v>
      </c>
    </row>
    <row r="119" spans="1:11" ht="12.75" customHeight="1" x14ac:dyDescent="0.25">
      <c r="A119" s="580" t="s">
        <v>897</v>
      </c>
      <c r="B119" s="130"/>
      <c r="C119" s="71">
        <f t="shared" ref="C119:H119" si="14">C56+C118</f>
        <v>1186593381.2300003</v>
      </c>
      <c r="D119" s="42">
        <f t="shared" si="14"/>
        <v>1292270400</v>
      </c>
      <c r="E119" s="41">
        <f t="shared" si="14"/>
        <v>1235782000</v>
      </c>
      <c r="F119" s="41">
        <f t="shared" si="14"/>
        <v>95495488.170000002</v>
      </c>
      <c r="G119" s="155">
        <f t="shared" si="14"/>
        <v>976776783.18999982</v>
      </c>
      <c r="H119" s="155">
        <f t="shared" si="14"/>
        <v>1002840900.6600001</v>
      </c>
      <c r="I119" s="41">
        <f>G119-H119</f>
        <v>-26064117.470000267</v>
      </c>
      <c r="J119" s="581">
        <f>IF(I119=0,"",I119/H119)</f>
        <v>-2.5990281661674029E-2</v>
      </c>
      <c r="K119" s="129">
        <f>K56+K118</f>
        <v>1235782000</v>
      </c>
    </row>
    <row r="120" spans="1:11" ht="12.75" customHeight="1" x14ac:dyDescent="0.25">
      <c r="A120" s="66" t="s">
        <v>670</v>
      </c>
      <c r="B120" s="90">
        <v>4</v>
      </c>
      <c r="C120" s="574"/>
      <c r="D120" s="572"/>
      <c r="E120" s="572">
        <f>IF(E119=0,"",(E119/C119)-1)</f>
        <v>4.1453643301980758E-2</v>
      </c>
      <c r="F120" s="572"/>
      <c r="G120" s="572"/>
      <c r="H120" s="693"/>
      <c r="I120" s="575"/>
      <c r="J120" s="576"/>
      <c r="K120" s="573"/>
    </row>
    <row r="121" spans="1:11" ht="12.75" customHeight="1" x14ac:dyDescent="0.25">
      <c r="A121" s="40" t="s">
        <v>115</v>
      </c>
      <c r="B121" s="130"/>
      <c r="C121" s="71">
        <f t="shared" ref="C121:I121" si="15">C34+C54+C96+C116</f>
        <v>1155996572.2100003</v>
      </c>
      <c r="D121" s="42">
        <f t="shared" si="15"/>
        <v>1257067700</v>
      </c>
      <c r="E121" s="41">
        <f t="shared" si="15"/>
        <v>1197348600</v>
      </c>
      <c r="F121" s="41">
        <f t="shared" si="15"/>
        <v>92704825.790000007</v>
      </c>
      <c r="G121" s="41">
        <f t="shared" si="15"/>
        <v>948543138.56999981</v>
      </c>
      <c r="H121" s="155">
        <f t="shared" si="15"/>
        <v>972580606.50999999</v>
      </c>
      <c r="I121" s="41">
        <f t="shared" si="15"/>
        <v>-24037467.940000229</v>
      </c>
      <c r="J121" s="582">
        <f>IF(I121=0,"",I121/H121)</f>
        <v>-2.4715142147709562E-2</v>
      </c>
      <c r="K121" s="129">
        <f>K34+K54+K96+K116</f>
        <v>1197348600</v>
      </c>
    </row>
    <row r="122" spans="1:11" ht="12.75" customHeight="1" x14ac:dyDescent="0.25">
      <c r="A122" s="64" t="str">
        <f>head27a</f>
        <v>References</v>
      </c>
      <c r="C122" s="58"/>
      <c r="D122" s="58"/>
      <c r="E122" s="58"/>
      <c r="F122" s="58"/>
      <c r="G122" s="412"/>
      <c r="H122" s="58"/>
      <c r="I122" s="58"/>
      <c r="J122" s="58"/>
      <c r="K122" s="58"/>
    </row>
    <row r="123" spans="1:11" ht="12.75" customHeight="1" x14ac:dyDescent="0.25">
      <c r="A123" s="73" t="s">
        <v>420</v>
      </c>
      <c r="C123" s="58"/>
      <c r="D123" s="58"/>
      <c r="E123" s="58"/>
      <c r="F123" s="58"/>
      <c r="G123" s="412"/>
      <c r="H123" s="58"/>
      <c r="I123" s="58"/>
      <c r="J123" s="58"/>
      <c r="K123" s="58"/>
    </row>
    <row r="124" spans="1:11" ht="12.75" customHeight="1" x14ac:dyDescent="0.25">
      <c r="A124" s="73" t="s">
        <v>722</v>
      </c>
      <c r="C124" s="58"/>
      <c r="D124" s="58"/>
      <c r="E124" s="58"/>
      <c r="F124" s="58"/>
      <c r="G124" s="412"/>
      <c r="H124" s="58"/>
      <c r="I124" s="58"/>
      <c r="J124" s="58"/>
      <c r="K124" s="58"/>
    </row>
    <row r="125" spans="1:11" ht="12.75" customHeight="1" x14ac:dyDescent="0.25">
      <c r="A125" s="73" t="s">
        <v>421</v>
      </c>
      <c r="G125" s="503"/>
    </row>
    <row r="126" spans="1:11" ht="12.75" customHeight="1" x14ac:dyDescent="0.25">
      <c r="A126" s="73" t="s">
        <v>422</v>
      </c>
    </row>
    <row r="127" spans="1:11" s="43" customFormat="1" ht="12.75" customHeight="1" x14ac:dyDescent="0.25">
      <c r="A127" s="334" t="s">
        <v>1361</v>
      </c>
      <c r="B127" s="317"/>
    </row>
    <row r="128" spans="1:11" ht="12.75" customHeight="1" x14ac:dyDescent="0.25">
      <c r="A128" s="64" t="s">
        <v>554</v>
      </c>
    </row>
    <row r="129" spans="1:2" ht="12.75" customHeight="1" x14ac:dyDescent="0.25">
      <c r="A129" s="73" t="s">
        <v>1358</v>
      </c>
    </row>
    <row r="130" spans="1:2" ht="12.75" customHeight="1" x14ac:dyDescent="0.25">
      <c r="A130" s="73" t="s">
        <v>1359</v>
      </c>
    </row>
    <row r="131" spans="1:2" ht="12.75" customHeight="1" x14ac:dyDescent="0.25">
      <c r="A131" s="73" t="s">
        <v>1360</v>
      </c>
    </row>
    <row r="132" spans="1:2" ht="12.75" customHeight="1" x14ac:dyDescent="0.25">
      <c r="A132" s="73" t="s">
        <v>701</v>
      </c>
    </row>
    <row r="137" spans="1:2" x14ac:dyDescent="0.25">
      <c r="B137" s="21"/>
    </row>
    <row r="138" spans="1:2" x14ac:dyDescent="0.25">
      <c r="B138" s="21"/>
    </row>
    <row r="139" spans="1:2" x14ac:dyDescent="0.25">
      <c r="B139" s="21"/>
    </row>
    <row r="140" spans="1:2" x14ac:dyDescent="0.25">
      <c r="B140" s="21"/>
    </row>
    <row r="141" spans="1:2" x14ac:dyDescent="0.25">
      <c r="B141" s="21"/>
    </row>
    <row r="142" spans="1:2" x14ac:dyDescent="0.25">
      <c r="B142" s="21"/>
    </row>
    <row r="143" spans="1:2" x14ac:dyDescent="0.25">
      <c r="B143" s="21"/>
    </row>
    <row r="144" spans="1:2" x14ac:dyDescent="0.25">
      <c r="B144" s="21"/>
    </row>
    <row r="145" spans="2:2" x14ac:dyDescent="0.25">
      <c r="B145" s="21"/>
    </row>
    <row r="146" spans="2:2" x14ac:dyDescent="0.25">
      <c r="B146" s="21"/>
    </row>
    <row r="147" spans="2:2" x14ac:dyDescent="0.25">
      <c r="B147" s="21"/>
    </row>
    <row r="148" spans="2:2" x14ac:dyDescent="0.25">
      <c r="B148" s="21"/>
    </row>
    <row r="149" spans="2:2" x14ac:dyDescent="0.25">
      <c r="B149" s="21"/>
    </row>
    <row r="150" spans="2:2" x14ac:dyDescent="0.25">
      <c r="B150" s="21"/>
    </row>
    <row r="151" spans="2:2" x14ac:dyDescent="0.25">
      <c r="B151" s="21"/>
    </row>
    <row r="152" spans="2:2" x14ac:dyDescent="0.25">
      <c r="B152" s="21"/>
    </row>
    <row r="153" spans="2:2" x14ac:dyDescent="0.25">
      <c r="B153" s="21"/>
    </row>
    <row r="154" spans="2:2" x14ac:dyDescent="0.25">
      <c r="B154" s="21"/>
    </row>
    <row r="155" spans="2:2" x14ac:dyDescent="0.25">
      <c r="B155" s="21"/>
    </row>
    <row r="156" spans="2:2" x14ac:dyDescent="0.25">
      <c r="B156" s="21"/>
    </row>
    <row r="157" spans="2:2" x14ac:dyDescent="0.25">
      <c r="B157" s="21"/>
    </row>
    <row r="158" spans="2:2" x14ac:dyDescent="0.25">
      <c r="B158" s="21"/>
    </row>
    <row r="159" spans="2:2" x14ac:dyDescent="0.25">
      <c r="B159" s="21"/>
    </row>
    <row r="160" spans="2:2" x14ac:dyDescent="0.25">
      <c r="B160" s="21"/>
    </row>
    <row r="161" spans="2:2" x14ac:dyDescent="0.25">
      <c r="B161" s="21"/>
    </row>
    <row r="162" spans="2:2" x14ac:dyDescent="0.25">
      <c r="B162" s="21"/>
    </row>
    <row r="163" spans="2:2" x14ac:dyDescent="0.25">
      <c r="B163" s="21"/>
    </row>
    <row r="164" spans="2:2" x14ac:dyDescent="0.25">
      <c r="B164" s="21"/>
    </row>
    <row r="165" spans="2:2" x14ac:dyDescent="0.25">
      <c r="B165" s="21"/>
    </row>
    <row r="166" spans="2:2" x14ac:dyDescent="0.25">
      <c r="B166" s="21"/>
    </row>
    <row r="167" spans="2:2" x14ac:dyDescent="0.25">
      <c r="B167" s="21"/>
    </row>
    <row r="168" spans="2:2" x14ac:dyDescent="0.25">
      <c r="B168" s="21"/>
    </row>
    <row r="169" spans="2:2" x14ac:dyDescent="0.25">
      <c r="B169" s="21"/>
    </row>
    <row r="170" spans="2:2" x14ac:dyDescent="0.25">
      <c r="B170" s="21"/>
    </row>
    <row r="171" spans="2:2" x14ac:dyDescent="0.25">
      <c r="B171" s="21"/>
    </row>
    <row r="172" spans="2:2" x14ac:dyDescent="0.25">
      <c r="B172" s="21"/>
    </row>
    <row r="173" spans="2:2" x14ac:dyDescent="0.25">
      <c r="B173" s="21"/>
    </row>
    <row r="174" spans="2:2" x14ac:dyDescent="0.25">
      <c r="B174" s="21"/>
    </row>
    <row r="175" spans="2:2" x14ac:dyDescent="0.25">
      <c r="B175" s="21"/>
    </row>
    <row r="176" spans="2:2" x14ac:dyDescent="0.25">
      <c r="B176" s="21"/>
    </row>
    <row r="177" spans="2:2" x14ac:dyDescent="0.25">
      <c r="B177" s="21"/>
    </row>
    <row r="178" spans="2:2" x14ac:dyDescent="0.25">
      <c r="B178" s="21"/>
    </row>
    <row r="179" spans="2:2" x14ac:dyDescent="0.25">
      <c r="B179" s="21"/>
    </row>
    <row r="180" spans="2:2" x14ac:dyDescent="0.25">
      <c r="B180" s="21"/>
    </row>
    <row r="181" spans="2:2" x14ac:dyDescent="0.25">
      <c r="B181" s="21"/>
    </row>
    <row r="182" spans="2:2" x14ac:dyDescent="0.25">
      <c r="B182" s="21"/>
    </row>
    <row r="183" spans="2:2" x14ac:dyDescent="0.25">
      <c r="B183" s="21"/>
    </row>
    <row r="184" spans="2:2" x14ac:dyDescent="0.25">
      <c r="B184" s="21"/>
    </row>
    <row r="185" spans="2:2" x14ac:dyDescent="0.25">
      <c r="B185" s="21"/>
    </row>
    <row r="186" spans="2:2" x14ac:dyDescent="0.25">
      <c r="B186" s="21"/>
    </row>
    <row r="187" spans="2:2" x14ac:dyDescent="0.25">
      <c r="B187" s="21"/>
    </row>
    <row r="188" spans="2:2" x14ac:dyDescent="0.25">
      <c r="B188" s="21"/>
    </row>
    <row r="189" spans="2:2" x14ac:dyDescent="0.25">
      <c r="B189" s="21"/>
    </row>
    <row r="190" spans="2:2" x14ac:dyDescent="0.25">
      <c r="B190" s="21"/>
    </row>
    <row r="191" spans="2:2" x14ac:dyDescent="0.25">
      <c r="B191" s="21"/>
    </row>
    <row r="192" spans="2:2" x14ac:dyDescent="0.25">
      <c r="B192" s="21"/>
    </row>
    <row r="193" spans="2:2" x14ac:dyDescent="0.25">
      <c r="B193" s="21"/>
    </row>
    <row r="194" spans="2:2" x14ac:dyDescent="0.25">
      <c r="B194" s="21"/>
    </row>
    <row r="195" spans="2:2" x14ac:dyDescent="0.25">
      <c r="B195" s="21"/>
    </row>
    <row r="196" spans="2:2" x14ac:dyDescent="0.25">
      <c r="B196" s="21"/>
    </row>
    <row r="197" spans="2:2" x14ac:dyDescent="0.25">
      <c r="B197" s="21"/>
    </row>
    <row r="198" spans="2:2" x14ac:dyDescent="0.25">
      <c r="B198" s="21"/>
    </row>
    <row r="199" spans="2:2" x14ac:dyDescent="0.25">
      <c r="B199" s="21"/>
    </row>
    <row r="200" spans="2:2" x14ac:dyDescent="0.25">
      <c r="B200" s="21"/>
    </row>
    <row r="201" spans="2:2" x14ac:dyDescent="0.25">
      <c r="B201" s="21"/>
    </row>
    <row r="202" spans="2:2" x14ac:dyDescent="0.25">
      <c r="B202" s="21"/>
    </row>
    <row r="203" spans="2:2" x14ac:dyDescent="0.25">
      <c r="B203" s="21"/>
    </row>
    <row r="204" spans="2:2" x14ac:dyDescent="0.25">
      <c r="B204" s="21"/>
    </row>
    <row r="205" spans="2:2" x14ac:dyDescent="0.25">
      <c r="B205" s="21"/>
    </row>
    <row r="206" spans="2:2" x14ac:dyDescent="0.25">
      <c r="B206" s="21"/>
    </row>
    <row r="207" spans="2:2" x14ac:dyDescent="0.25">
      <c r="B207" s="21"/>
    </row>
    <row r="208" spans="2:2" x14ac:dyDescent="0.25">
      <c r="B208" s="21"/>
    </row>
    <row r="209" spans="2:2" x14ac:dyDescent="0.25">
      <c r="B209" s="21"/>
    </row>
    <row r="210" spans="2:2" x14ac:dyDescent="0.25">
      <c r="B210" s="21"/>
    </row>
    <row r="211" spans="2:2" x14ac:dyDescent="0.25">
      <c r="B211" s="21"/>
    </row>
  </sheetData>
  <mergeCells count="3">
    <mergeCell ref="A2:A3"/>
    <mergeCell ref="B2:B3"/>
    <mergeCell ref="A1:K1"/>
  </mergeCells>
  <phoneticPr fontId="2" type="noConversion"/>
  <printOptions horizontalCentered="1"/>
  <pageMargins left="0.11811023622047245" right="0.15748031496062992" top="0.59055118110236227" bottom="0.59055118110236227" header="0.51181102362204722" footer="0.39370078740157483"/>
  <pageSetup paperSize="8" scale="74" orientation="portrait" r:id="rId1"/>
  <headerFooter alignWithMargins="0">
    <oddFooter>&amp;L&amp;F&amp;C&amp;A&amp;R&amp;D</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41"/>
  <sheetViews>
    <sheetView topLeftCell="A13" workbookViewId="0">
      <selection activeCell="A25" sqref="A25:XFD25"/>
    </sheetView>
  </sheetViews>
  <sheetFormatPr defaultRowHeight="12.75" x14ac:dyDescent="0.2"/>
  <cols>
    <col min="1" max="1" width="41.5703125" bestFit="1" customWidth="1"/>
    <col min="2" max="2" width="15" bestFit="1" customWidth="1"/>
    <col min="3" max="3" width="13.5703125" bestFit="1" customWidth="1"/>
    <col min="4" max="4" width="14.28515625" bestFit="1" customWidth="1"/>
    <col min="5" max="5" width="13.7109375" bestFit="1" customWidth="1"/>
    <col min="6" max="6" width="17.85546875" bestFit="1" customWidth="1"/>
    <col min="7" max="7" width="17.7109375" bestFit="1" customWidth="1"/>
    <col min="8" max="8" width="12.42578125" bestFit="1" customWidth="1"/>
    <col min="9" max="9" width="19.7109375" bestFit="1" customWidth="1"/>
    <col min="10" max="10" width="16" bestFit="1" customWidth="1"/>
  </cols>
  <sheetData>
    <row r="1" spans="1:10" x14ac:dyDescent="0.2">
      <c r="A1" s="659" t="s">
        <v>973</v>
      </c>
      <c r="B1" s="660" t="s">
        <v>471</v>
      </c>
      <c r="C1" s="660" t="s">
        <v>558</v>
      </c>
      <c r="D1" s="660" t="s">
        <v>773</v>
      </c>
      <c r="E1" s="660" t="s">
        <v>1545</v>
      </c>
      <c r="F1" s="660" t="s">
        <v>1546</v>
      </c>
      <c r="G1" s="660" t="s">
        <v>1547</v>
      </c>
      <c r="H1" s="660" t="s">
        <v>1548</v>
      </c>
      <c r="I1" s="660" t="s">
        <v>1549</v>
      </c>
      <c r="J1" s="660" t="s">
        <v>774</v>
      </c>
    </row>
    <row r="2" spans="1:10" x14ac:dyDescent="0.2">
      <c r="A2" s="659" t="s">
        <v>1584</v>
      </c>
      <c r="B2" s="661" t="s">
        <v>973</v>
      </c>
      <c r="C2" s="661" t="s">
        <v>973</v>
      </c>
      <c r="D2" s="661" t="s">
        <v>973</v>
      </c>
      <c r="E2" s="661" t="s">
        <v>973</v>
      </c>
      <c r="F2" s="661" t="s">
        <v>973</v>
      </c>
      <c r="G2" s="661" t="s">
        <v>973</v>
      </c>
      <c r="H2" s="661" t="s">
        <v>973</v>
      </c>
      <c r="I2" s="661" t="s">
        <v>528</v>
      </c>
      <c r="J2" s="661" t="s">
        <v>973</v>
      </c>
    </row>
    <row r="3" spans="1:10" x14ac:dyDescent="0.2">
      <c r="A3" s="639" t="s">
        <v>1948</v>
      </c>
      <c r="B3" s="637">
        <v>30596809.02</v>
      </c>
      <c r="C3" s="637">
        <v>35202700</v>
      </c>
      <c r="D3" s="637">
        <v>38433400</v>
      </c>
      <c r="E3" s="637">
        <v>2790662.38</v>
      </c>
      <c r="F3" s="637">
        <v>28233644.620000001</v>
      </c>
      <c r="G3" s="637">
        <v>30260294.149999999</v>
      </c>
      <c r="H3" s="637">
        <v>2026649.53</v>
      </c>
      <c r="I3" s="637">
        <v>6.6973887297787602</v>
      </c>
      <c r="J3" s="637">
        <v>38433400</v>
      </c>
    </row>
    <row r="4" spans="1:10" x14ac:dyDescent="0.2">
      <c r="A4" s="644" t="s">
        <v>1949</v>
      </c>
      <c r="B4" s="637">
        <v>21860374.539999999</v>
      </c>
      <c r="C4" s="637">
        <v>24655400</v>
      </c>
      <c r="D4" s="637">
        <v>28361700</v>
      </c>
      <c r="E4" s="637">
        <v>1985316.46</v>
      </c>
      <c r="F4" s="637">
        <v>20301734.649999999</v>
      </c>
      <c r="G4" s="637">
        <v>22102008.300000001</v>
      </c>
      <c r="H4" s="637">
        <v>1800273.65</v>
      </c>
      <c r="I4" s="637">
        <v>8.1452944255748907</v>
      </c>
      <c r="J4" s="637">
        <v>28361700</v>
      </c>
    </row>
    <row r="5" spans="1:10" x14ac:dyDescent="0.2">
      <c r="A5" s="644" t="s">
        <v>1950</v>
      </c>
      <c r="B5" s="637">
        <v>3061896.76</v>
      </c>
      <c r="C5" s="637">
        <v>3455100</v>
      </c>
      <c r="D5" s="637">
        <v>3953300</v>
      </c>
      <c r="E5" s="637">
        <v>280055.12</v>
      </c>
      <c r="F5" s="637">
        <v>2859867.51</v>
      </c>
      <c r="G5" s="637">
        <v>3089721.93</v>
      </c>
      <c r="H5" s="637">
        <v>229854.42</v>
      </c>
      <c r="I5" s="637">
        <v>7.4393238358508196</v>
      </c>
      <c r="J5" s="637">
        <v>3953300</v>
      </c>
    </row>
    <row r="6" spans="1:10" x14ac:dyDescent="0.2">
      <c r="A6" s="644" t="s">
        <v>1951</v>
      </c>
      <c r="B6" s="637">
        <v>849637.01</v>
      </c>
      <c r="C6" s="637">
        <v>1228000</v>
      </c>
      <c r="D6" s="637">
        <v>1102400</v>
      </c>
      <c r="E6" s="637">
        <v>83473.83</v>
      </c>
      <c r="F6" s="637">
        <v>824549.25</v>
      </c>
      <c r="G6" s="637">
        <v>869248.92</v>
      </c>
      <c r="H6" s="637">
        <v>44699.67</v>
      </c>
      <c r="I6" s="637">
        <v>5.14233253231997</v>
      </c>
      <c r="J6" s="637">
        <v>1102400</v>
      </c>
    </row>
    <row r="7" spans="1:10" x14ac:dyDescent="0.2">
      <c r="A7" s="644" t="s">
        <v>1952</v>
      </c>
      <c r="B7" s="637">
        <v>1552365.72</v>
      </c>
      <c r="C7" s="637">
        <v>2554400</v>
      </c>
      <c r="D7" s="637">
        <v>1871600</v>
      </c>
      <c r="E7" s="637">
        <v>179377.97</v>
      </c>
      <c r="F7" s="637">
        <v>1607664.82</v>
      </c>
      <c r="G7" s="637">
        <v>1568189.22</v>
      </c>
      <c r="H7" s="637">
        <v>-39475.599999999999</v>
      </c>
      <c r="I7" s="637">
        <v>-2.51727275615375</v>
      </c>
      <c r="J7" s="637">
        <v>1871600</v>
      </c>
    </row>
    <row r="8" spans="1:10" x14ac:dyDescent="0.2">
      <c r="A8" s="644" t="s">
        <v>1953</v>
      </c>
      <c r="B8" s="637">
        <v>3272534.99</v>
      </c>
      <c r="C8" s="637">
        <v>3309800</v>
      </c>
      <c r="D8" s="637">
        <v>3144400</v>
      </c>
      <c r="E8" s="637">
        <v>262439</v>
      </c>
      <c r="F8" s="637">
        <v>2639828.39</v>
      </c>
      <c r="G8" s="637">
        <v>2631125.7799999998</v>
      </c>
      <c r="H8" s="637">
        <v>-8702.61</v>
      </c>
      <c r="I8" s="637">
        <v>-0.33075613739758197</v>
      </c>
      <c r="J8" s="637">
        <v>3144400</v>
      </c>
    </row>
    <row r="9" spans="1:10" x14ac:dyDescent="0.2">
      <c r="A9" s="644" t="s">
        <v>1954</v>
      </c>
      <c r="B9" s="637"/>
      <c r="C9" s="637"/>
      <c r="D9" s="637"/>
      <c r="E9" s="637"/>
      <c r="F9" s="637"/>
      <c r="G9" s="637"/>
      <c r="H9" s="637"/>
      <c r="I9" s="637"/>
      <c r="J9" s="637"/>
    </row>
    <row r="10" spans="1:10" x14ac:dyDescent="0.2">
      <c r="A10" s="644" t="s">
        <v>1955</v>
      </c>
      <c r="B10" s="637"/>
      <c r="C10" s="637"/>
      <c r="D10" s="637"/>
      <c r="E10" s="637"/>
      <c r="F10" s="637"/>
      <c r="G10" s="637"/>
      <c r="H10" s="637"/>
      <c r="I10" s="637"/>
      <c r="J10" s="637"/>
    </row>
    <row r="11" spans="1:10" x14ac:dyDescent="0.2">
      <c r="A11" s="639" t="s">
        <v>1956</v>
      </c>
      <c r="B11" s="637">
        <v>16897027.879999999</v>
      </c>
      <c r="C11" s="637">
        <v>20228700</v>
      </c>
      <c r="D11" s="637">
        <v>22709700</v>
      </c>
      <c r="E11" s="637">
        <v>1435855.87</v>
      </c>
      <c r="F11" s="637">
        <v>15080062.73</v>
      </c>
      <c r="G11" s="637">
        <v>16162540.41</v>
      </c>
      <c r="H11" s="637">
        <v>1082477.68</v>
      </c>
      <c r="I11" s="637">
        <v>6.6974476322438496</v>
      </c>
      <c r="J11" s="637">
        <v>22709700</v>
      </c>
    </row>
    <row r="12" spans="1:10" x14ac:dyDescent="0.2">
      <c r="A12" s="644" t="s">
        <v>1957</v>
      </c>
      <c r="B12" s="637">
        <v>11798988.970000001</v>
      </c>
      <c r="C12" s="637">
        <v>12616100</v>
      </c>
      <c r="D12" s="637">
        <v>14952300</v>
      </c>
      <c r="E12" s="637">
        <v>825654.17</v>
      </c>
      <c r="F12" s="637">
        <v>11217249.609999999</v>
      </c>
      <c r="G12" s="637">
        <v>12175756.68</v>
      </c>
      <c r="H12" s="637">
        <v>958507.07</v>
      </c>
      <c r="I12" s="637">
        <v>7.8722587449078398</v>
      </c>
      <c r="J12" s="637">
        <v>14952300</v>
      </c>
    </row>
    <row r="13" spans="1:10" x14ac:dyDescent="0.2">
      <c r="A13" s="644" t="s">
        <v>1958</v>
      </c>
      <c r="B13" s="637">
        <v>891486.07</v>
      </c>
      <c r="C13" s="637">
        <v>998500</v>
      </c>
      <c r="D13" s="637">
        <v>998500</v>
      </c>
      <c r="E13" s="637">
        <v>79296.92</v>
      </c>
      <c r="F13" s="637">
        <v>728543.93</v>
      </c>
      <c r="G13" s="637">
        <v>789346.35</v>
      </c>
      <c r="H13" s="637">
        <v>60802.42</v>
      </c>
      <c r="I13" s="637">
        <v>7.70288226454712</v>
      </c>
      <c r="J13" s="637">
        <v>998500</v>
      </c>
    </row>
    <row r="14" spans="1:10" x14ac:dyDescent="0.2">
      <c r="A14" s="644" t="s">
        <v>1959</v>
      </c>
      <c r="B14" s="637">
        <v>209078.6</v>
      </c>
      <c r="C14" s="637">
        <v>228400</v>
      </c>
      <c r="D14" s="637">
        <v>228400</v>
      </c>
      <c r="E14" s="637">
        <v>13043.4</v>
      </c>
      <c r="F14" s="637">
        <v>169187.16</v>
      </c>
      <c r="G14" s="637">
        <v>185710.23</v>
      </c>
      <c r="H14" s="637">
        <v>16523.07</v>
      </c>
      <c r="I14" s="637">
        <v>8.8972319941664004</v>
      </c>
      <c r="J14" s="637">
        <v>228400</v>
      </c>
    </row>
    <row r="15" spans="1:10" x14ac:dyDescent="0.2">
      <c r="A15" s="644" t="s">
        <v>1960</v>
      </c>
      <c r="B15" s="637"/>
      <c r="C15" s="637"/>
      <c r="D15" s="637"/>
      <c r="E15" s="637"/>
      <c r="F15" s="637"/>
      <c r="G15" s="637"/>
      <c r="H15" s="637"/>
      <c r="I15" s="637"/>
      <c r="J15" s="637"/>
    </row>
    <row r="16" spans="1:10" x14ac:dyDescent="0.2">
      <c r="A16" s="644" t="s">
        <v>1961</v>
      </c>
      <c r="B16" s="637">
        <v>1632562.46</v>
      </c>
      <c r="C16" s="637">
        <v>3103800</v>
      </c>
      <c r="D16" s="637">
        <v>3103800</v>
      </c>
      <c r="E16" s="637">
        <v>129505.8</v>
      </c>
      <c r="F16" s="637">
        <v>736027.72</v>
      </c>
      <c r="G16" s="637">
        <v>750985.88</v>
      </c>
      <c r="H16" s="637">
        <v>14958.16</v>
      </c>
      <c r="I16" s="637">
        <v>1.99180309488642</v>
      </c>
      <c r="J16" s="637">
        <v>3103800</v>
      </c>
    </row>
    <row r="17" spans="1:10" x14ac:dyDescent="0.2">
      <c r="A17" s="644" t="s">
        <v>1962</v>
      </c>
      <c r="B17" s="637">
        <v>1926347.03</v>
      </c>
      <c r="C17" s="637">
        <v>2136700</v>
      </c>
      <c r="D17" s="637">
        <v>2136500</v>
      </c>
      <c r="E17" s="637">
        <v>166258.51999999999</v>
      </c>
      <c r="F17" s="637">
        <v>1505902.98</v>
      </c>
      <c r="G17" s="637">
        <v>1666017.65</v>
      </c>
      <c r="H17" s="637">
        <v>160114.67000000001</v>
      </c>
      <c r="I17" s="637">
        <v>9.6106226725749302</v>
      </c>
      <c r="J17" s="637">
        <v>2136500</v>
      </c>
    </row>
    <row r="18" spans="1:10" x14ac:dyDescent="0.2">
      <c r="A18" s="644" t="s">
        <v>1963</v>
      </c>
      <c r="B18" s="637">
        <v>313566.21999999997</v>
      </c>
      <c r="C18" s="637">
        <v>297100</v>
      </c>
      <c r="D18" s="637">
        <v>330400</v>
      </c>
      <c r="E18" s="637">
        <v>24091.13</v>
      </c>
      <c r="F18" s="637">
        <v>247794.48</v>
      </c>
      <c r="G18" s="637">
        <v>265005.78999999998</v>
      </c>
      <c r="H18" s="637">
        <v>17211.310000000001</v>
      </c>
      <c r="I18" s="637">
        <v>6.4946920593697204</v>
      </c>
      <c r="J18" s="637">
        <v>330400</v>
      </c>
    </row>
    <row r="19" spans="1:10" x14ac:dyDescent="0.2">
      <c r="A19" s="644" t="s">
        <v>1964</v>
      </c>
      <c r="B19" s="637"/>
      <c r="C19" s="637"/>
      <c r="D19" s="637"/>
      <c r="E19" s="637"/>
      <c r="F19" s="637"/>
      <c r="G19" s="637"/>
      <c r="H19" s="637"/>
      <c r="I19" s="637"/>
      <c r="J19" s="637"/>
    </row>
    <row r="20" spans="1:10" x14ac:dyDescent="0.2">
      <c r="A20" s="644" t="s">
        <v>1965</v>
      </c>
      <c r="B20" s="637">
        <v>86139.839999999997</v>
      </c>
      <c r="C20" s="637">
        <v>95100</v>
      </c>
      <c r="D20" s="637">
        <v>95100</v>
      </c>
      <c r="E20" s="637">
        <v>10542.51</v>
      </c>
      <c r="F20" s="637">
        <v>77555.34</v>
      </c>
      <c r="G20" s="637">
        <v>76922.81</v>
      </c>
      <c r="H20" s="637">
        <v>-632.53</v>
      </c>
      <c r="I20" s="637">
        <v>-0.82229185335273103</v>
      </c>
      <c r="J20" s="637">
        <v>95100</v>
      </c>
    </row>
    <row r="21" spans="1:10" x14ac:dyDescent="0.2">
      <c r="A21" s="644" t="s">
        <v>1966</v>
      </c>
      <c r="B21" s="637">
        <v>-11436.79</v>
      </c>
      <c r="C21" s="637">
        <v>701400</v>
      </c>
      <c r="D21" s="637">
        <v>713300</v>
      </c>
      <c r="E21" s="637">
        <v>166776.24</v>
      </c>
      <c r="F21" s="637">
        <v>314018.44</v>
      </c>
      <c r="G21" s="637">
        <v>147242.20000000001</v>
      </c>
      <c r="H21" s="637">
        <v>-166776.24</v>
      </c>
      <c r="I21" s="637">
        <v>-113.26660427513301</v>
      </c>
      <c r="J21" s="637">
        <v>713300</v>
      </c>
    </row>
    <row r="22" spans="1:10" x14ac:dyDescent="0.2">
      <c r="A22" s="644" t="s">
        <v>1967</v>
      </c>
      <c r="B22" s="637"/>
      <c r="C22" s="637"/>
      <c r="D22" s="637"/>
      <c r="E22" s="637"/>
      <c r="F22" s="637"/>
      <c r="G22" s="637"/>
      <c r="H22" s="637"/>
      <c r="I22" s="637"/>
      <c r="J22" s="637"/>
    </row>
    <row r="23" spans="1:10" x14ac:dyDescent="0.2">
      <c r="A23" s="644" t="s">
        <v>1968</v>
      </c>
      <c r="B23" s="637"/>
      <c r="C23" s="637"/>
      <c r="D23" s="637"/>
      <c r="E23" s="637"/>
      <c r="F23" s="637"/>
      <c r="G23" s="637"/>
      <c r="H23" s="637"/>
      <c r="I23" s="637"/>
      <c r="J23" s="637"/>
    </row>
    <row r="24" spans="1:10" x14ac:dyDescent="0.2">
      <c r="A24" s="644" t="s">
        <v>1969</v>
      </c>
      <c r="B24" s="637"/>
      <c r="C24" s="637"/>
      <c r="D24" s="637"/>
      <c r="E24" s="637"/>
      <c r="F24" s="637"/>
      <c r="G24" s="637"/>
      <c r="H24" s="637"/>
      <c r="I24" s="637"/>
      <c r="J24" s="637"/>
    </row>
    <row r="25" spans="1:10" x14ac:dyDescent="0.2">
      <c r="A25" s="760" t="s">
        <v>1985</v>
      </c>
      <c r="B25" s="637">
        <v>50295.48</v>
      </c>
      <c r="C25" s="637">
        <v>51600</v>
      </c>
      <c r="D25" s="637">
        <v>151400</v>
      </c>
      <c r="E25" s="637">
        <v>20687.18</v>
      </c>
      <c r="F25" s="637">
        <v>83783.070000000007</v>
      </c>
      <c r="G25" s="637">
        <v>105552.82</v>
      </c>
      <c r="H25" s="637">
        <v>21769.75</v>
      </c>
      <c r="I25" s="637">
        <v>20.624508184622599</v>
      </c>
      <c r="J25" s="637">
        <v>151400</v>
      </c>
    </row>
    <row r="26" spans="1:10" x14ac:dyDescent="0.2">
      <c r="A26" s="642" t="s">
        <v>1970</v>
      </c>
      <c r="B26" s="637">
        <v>1139099544.3299999</v>
      </c>
      <c r="C26" s="637">
        <v>1236839000</v>
      </c>
      <c r="D26" s="637">
        <v>1174638900</v>
      </c>
      <c r="E26" s="637">
        <v>91268969.920000002</v>
      </c>
      <c r="F26" s="637">
        <v>933463075.84000003</v>
      </c>
      <c r="G26" s="637">
        <v>956418066.10000002</v>
      </c>
      <c r="H26" s="637">
        <v>22954990.260000002</v>
      </c>
      <c r="I26" s="637">
        <v>2.4001000267178001</v>
      </c>
      <c r="J26" s="637">
        <v>1174638900</v>
      </c>
    </row>
    <row r="27" spans="1:10" x14ac:dyDescent="0.2">
      <c r="A27" s="644" t="s">
        <v>1971</v>
      </c>
      <c r="B27" s="637">
        <v>620726246.74000001</v>
      </c>
      <c r="C27" s="637">
        <v>719340200</v>
      </c>
      <c r="D27" s="637">
        <v>662157000</v>
      </c>
      <c r="E27" s="637">
        <v>52688308.880000003</v>
      </c>
      <c r="F27" s="637">
        <v>529116604.95999998</v>
      </c>
      <c r="G27" s="637">
        <v>539345293.21000004</v>
      </c>
      <c r="H27" s="637">
        <v>10228688.25</v>
      </c>
      <c r="I27" s="637">
        <v>1.8965008833436401</v>
      </c>
      <c r="J27" s="637">
        <v>662157000</v>
      </c>
    </row>
    <row r="28" spans="1:10" x14ac:dyDescent="0.2">
      <c r="A28" s="644" t="s">
        <v>1972</v>
      </c>
      <c r="B28" s="637">
        <v>113620912.18000001</v>
      </c>
      <c r="C28" s="637">
        <v>141600700</v>
      </c>
      <c r="D28" s="637">
        <v>119266100</v>
      </c>
      <c r="E28" s="637">
        <v>9637941.1699999999</v>
      </c>
      <c r="F28" s="637">
        <v>95868214.719999999</v>
      </c>
      <c r="G28" s="637">
        <v>97637843.590000004</v>
      </c>
      <c r="H28" s="637">
        <v>1769628.87</v>
      </c>
      <c r="I28" s="637">
        <v>1.81244157483753</v>
      </c>
      <c r="J28" s="637">
        <v>119266100</v>
      </c>
    </row>
    <row r="29" spans="1:10" x14ac:dyDescent="0.2">
      <c r="A29" s="644" t="s">
        <v>1973</v>
      </c>
      <c r="B29" s="637">
        <v>53772935.869999997</v>
      </c>
      <c r="C29" s="637">
        <v>70298600</v>
      </c>
      <c r="D29" s="637">
        <v>57356500</v>
      </c>
      <c r="E29" s="637">
        <v>4890824.87</v>
      </c>
      <c r="F29" s="637">
        <v>46804416.189999998</v>
      </c>
      <c r="G29" s="637">
        <v>46941884.43</v>
      </c>
      <c r="H29" s="637">
        <v>137468.24</v>
      </c>
      <c r="I29" s="637">
        <v>0.29284772366774797</v>
      </c>
      <c r="J29" s="637">
        <v>57356500</v>
      </c>
    </row>
    <row r="30" spans="1:10" x14ac:dyDescent="0.2">
      <c r="A30" s="644" t="s">
        <v>1974</v>
      </c>
      <c r="B30" s="637">
        <v>89770082.739999995</v>
      </c>
      <c r="C30" s="637">
        <v>58272800</v>
      </c>
      <c r="D30" s="637">
        <v>87064600</v>
      </c>
      <c r="E30" s="637">
        <v>6673873.5099999998</v>
      </c>
      <c r="F30" s="637">
        <v>65100336.640000001</v>
      </c>
      <c r="G30" s="637">
        <v>67710276.569999993</v>
      </c>
      <c r="H30" s="637">
        <v>2609939.9300000002</v>
      </c>
      <c r="I30" s="637">
        <v>3.85456988541732</v>
      </c>
      <c r="J30" s="637">
        <v>87064600</v>
      </c>
    </row>
    <row r="31" spans="1:10" x14ac:dyDescent="0.2">
      <c r="A31" s="644" t="s">
        <v>1975</v>
      </c>
      <c r="B31" s="637"/>
      <c r="C31" s="637"/>
      <c r="D31" s="637"/>
      <c r="E31" s="637"/>
      <c r="F31" s="637"/>
      <c r="G31" s="637"/>
      <c r="H31" s="637"/>
      <c r="I31" s="637"/>
      <c r="J31" s="637"/>
    </row>
    <row r="32" spans="1:10" x14ac:dyDescent="0.2">
      <c r="A32" s="644" t="s">
        <v>1976</v>
      </c>
      <c r="B32" s="637">
        <v>64364738.68</v>
      </c>
      <c r="C32" s="637">
        <v>69749200</v>
      </c>
      <c r="D32" s="637">
        <v>66157400</v>
      </c>
      <c r="E32" s="637">
        <v>5236889.2</v>
      </c>
      <c r="F32" s="637">
        <v>52889270.020000003</v>
      </c>
      <c r="G32" s="637">
        <v>54160998.359999999</v>
      </c>
      <c r="H32" s="637">
        <v>1271728.3400000001</v>
      </c>
      <c r="I32" s="637">
        <v>2.3480518795961101</v>
      </c>
      <c r="J32" s="637">
        <v>66157400</v>
      </c>
    </row>
    <row r="33" spans="1:10" x14ac:dyDescent="0.2">
      <c r="A33" s="644" t="s">
        <v>1977</v>
      </c>
      <c r="B33" s="637">
        <v>5368209.6900000004</v>
      </c>
      <c r="C33" s="637">
        <v>7895400</v>
      </c>
      <c r="D33" s="637">
        <v>5950500</v>
      </c>
      <c r="E33" s="637">
        <v>442140.67</v>
      </c>
      <c r="F33" s="637">
        <v>4511421.3600000003</v>
      </c>
      <c r="G33" s="637">
        <v>4753003.1100000003</v>
      </c>
      <c r="H33" s="637">
        <v>241581.75</v>
      </c>
      <c r="I33" s="637">
        <v>5.0827181133487596</v>
      </c>
      <c r="J33" s="637">
        <v>5950500</v>
      </c>
    </row>
    <row r="34" spans="1:10" x14ac:dyDescent="0.2">
      <c r="A34" s="644" t="s">
        <v>1978</v>
      </c>
      <c r="B34" s="637">
        <v>3279036.61</v>
      </c>
      <c r="C34" s="637">
        <v>4822100</v>
      </c>
      <c r="D34" s="637">
        <v>3513000</v>
      </c>
      <c r="E34" s="637">
        <v>284501.08</v>
      </c>
      <c r="F34" s="637">
        <v>2828687.54</v>
      </c>
      <c r="G34" s="637">
        <v>2874626.67</v>
      </c>
      <c r="H34" s="637">
        <v>45939.13</v>
      </c>
      <c r="I34" s="637">
        <v>1.5980903008876599</v>
      </c>
      <c r="J34" s="637">
        <v>3513000</v>
      </c>
    </row>
    <row r="35" spans="1:10" x14ac:dyDescent="0.2">
      <c r="A35" s="644" t="s">
        <v>1979</v>
      </c>
      <c r="B35" s="637">
        <v>95441480.709999993</v>
      </c>
      <c r="C35" s="637">
        <v>96301000</v>
      </c>
      <c r="D35" s="637">
        <v>96092500</v>
      </c>
      <c r="E35" s="637">
        <v>6027101.7699999996</v>
      </c>
      <c r="F35" s="637">
        <v>78808354.930000007</v>
      </c>
      <c r="G35" s="637">
        <v>79638521.310000002</v>
      </c>
      <c r="H35" s="637">
        <v>830166.38</v>
      </c>
      <c r="I35" s="637">
        <v>1.0424181242247099</v>
      </c>
      <c r="J35" s="637">
        <v>96092500</v>
      </c>
    </row>
    <row r="36" spans="1:10" x14ac:dyDescent="0.2">
      <c r="A36" s="644" t="s">
        <v>1980</v>
      </c>
      <c r="B36" s="637">
        <v>27593015.780000001</v>
      </c>
      <c r="C36" s="637">
        <v>27949700</v>
      </c>
      <c r="D36" s="637">
        <v>35454300</v>
      </c>
      <c r="E36" s="637">
        <v>1807831.75</v>
      </c>
      <c r="F36" s="637">
        <v>23521300.27</v>
      </c>
      <c r="G36" s="637">
        <v>29138424.02</v>
      </c>
      <c r="H36" s="637">
        <v>5617123.75</v>
      </c>
      <c r="I36" s="637">
        <v>19.277376656144899</v>
      </c>
      <c r="J36" s="637">
        <v>35454300</v>
      </c>
    </row>
    <row r="37" spans="1:10" x14ac:dyDescent="0.2">
      <c r="A37" s="644" t="s">
        <v>1981</v>
      </c>
      <c r="B37" s="637">
        <v>3492908.8</v>
      </c>
      <c r="C37" s="637">
        <v>720000</v>
      </c>
      <c r="D37" s="637">
        <v>1310400</v>
      </c>
      <c r="E37" s="637">
        <v>57167.41</v>
      </c>
      <c r="F37" s="637">
        <v>646581.89</v>
      </c>
      <c r="G37" s="637">
        <v>839882.59</v>
      </c>
      <c r="H37" s="637">
        <v>193300.7</v>
      </c>
      <c r="I37" s="637">
        <v>23.015205018120401</v>
      </c>
      <c r="J37" s="637">
        <v>1310400</v>
      </c>
    </row>
    <row r="38" spans="1:10" x14ac:dyDescent="0.2">
      <c r="A38" s="644" t="s">
        <v>1982</v>
      </c>
      <c r="B38" s="637">
        <v>60232422.600000001</v>
      </c>
      <c r="C38" s="637">
        <v>38021300</v>
      </c>
      <c r="D38" s="637">
        <v>38028100</v>
      </c>
      <c r="E38" s="637">
        <v>3197813.34</v>
      </c>
      <c r="F38" s="637">
        <v>31668372.539999999</v>
      </c>
      <c r="G38" s="637">
        <v>31632930.739999998</v>
      </c>
      <c r="H38" s="637">
        <v>-35441.800000000003</v>
      </c>
      <c r="I38" s="637">
        <v>-0.112040835834359</v>
      </c>
      <c r="J38" s="637">
        <v>38028100</v>
      </c>
    </row>
    <row r="39" spans="1:10" x14ac:dyDescent="0.2">
      <c r="A39" s="760" t="s">
        <v>1983</v>
      </c>
      <c r="B39" s="637"/>
      <c r="C39" s="637"/>
      <c r="D39" s="637"/>
      <c r="E39" s="637"/>
      <c r="F39" s="637"/>
      <c r="G39" s="637"/>
      <c r="H39" s="637"/>
      <c r="I39" s="637"/>
      <c r="J39" s="637"/>
    </row>
    <row r="40" spans="1:10" x14ac:dyDescent="0.2">
      <c r="A40" s="648" t="s">
        <v>1986</v>
      </c>
      <c r="B40" s="636">
        <v>1437553.93</v>
      </c>
      <c r="C40" s="636">
        <v>1868000</v>
      </c>
      <c r="D40" s="636">
        <v>2288500</v>
      </c>
      <c r="E40" s="636">
        <v>324576.27</v>
      </c>
      <c r="F40" s="636">
        <v>1699514.78</v>
      </c>
      <c r="G40" s="636">
        <v>1744381.5</v>
      </c>
      <c r="H40" s="636">
        <v>44866.720000000001</v>
      </c>
      <c r="I40" s="636">
        <v>2.5720703871257502</v>
      </c>
      <c r="J40" s="636">
        <v>2288500</v>
      </c>
    </row>
    <row r="41" spans="1:10" x14ac:dyDescent="0.2">
      <c r="A41" s="761" t="s">
        <v>1636</v>
      </c>
      <c r="B41" s="636">
        <v>4012411778.4400001</v>
      </c>
      <c r="C41" s="636">
        <v>4297647900</v>
      </c>
      <c r="D41" s="636">
        <v>4388135106.25</v>
      </c>
      <c r="E41" s="636">
        <v>285307873.98000002</v>
      </c>
      <c r="F41" s="636">
        <v>3558225956.6399999</v>
      </c>
      <c r="G41" s="636">
        <v>3580156268.3899999</v>
      </c>
      <c r="H41" s="636">
        <v>21930311.75</v>
      </c>
      <c r="I41" s="636">
        <v>0.61255180237878504</v>
      </c>
      <c r="J41" s="636">
        <v>4388135106.25</v>
      </c>
    </row>
  </sheetData>
  <pageMargins left="0.7" right="0.7" top="0.75" bottom="0.75" header="0.3" footer="0.3"/>
  <customProperties>
    <customPr name="_pios_id" r:id="rId1"/>
    <customPr name="CofWorksheetType"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82" activePane="bottomLeft" state="frozen"/>
      <selection activeCell="T26" sqref="T26"/>
      <selection pane="bottomLeft" activeCell="A109" sqref="A109"/>
    </sheetView>
  </sheetViews>
  <sheetFormatPr defaultColWidth="9.28515625" defaultRowHeight="11.25" x14ac:dyDescent="0.2"/>
  <cols>
    <col min="1" max="1" width="10.7109375" style="3" customWidth="1"/>
    <col min="2" max="2" width="92.28515625" style="1" customWidth="1"/>
    <col min="3" max="3" width="18.7109375" style="1" customWidth="1"/>
    <col min="4" max="4" width="18.5703125" style="1" customWidth="1"/>
    <col min="5" max="5" width="61.5703125" style="1" customWidth="1"/>
    <col min="6" max="6" width="78.28515625" style="1" customWidth="1"/>
    <col min="7" max="16384" width="9.28515625" style="1"/>
  </cols>
  <sheetData>
    <row r="1" spans="1:4" x14ac:dyDescent="0.2">
      <c r="A1" s="819" t="s">
        <v>591</v>
      </c>
      <c r="B1" s="820"/>
      <c r="C1" s="820"/>
      <c r="D1" s="821"/>
    </row>
    <row r="2" spans="1:4" x14ac:dyDescent="0.2">
      <c r="A2" s="257" t="s">
        <v>833</v>
      </c>
      <c r="B2" s="258" t="str">
        <f>HLOOKUP(MTREF,Headings,2)</f>
        <v>2024/25</v>
      </c>
      <c r="C2" s="259" t="s">
        <v>27</v>
      </c>
      <c r="D2" s="260"/>
    </row>
    <row r="3" spans="1:4" x14ac:dyDescent="0.2">
      <c r="A3" s="261" t="s">
        <v>860</v>
      </c>
      <c r="B3" s="262" t="str">
        <f>HLOOKUP(MTREF,Headings,5)</f>
        <v>Budget Year 2025/26</v>
      </c>
      <c r="C3" s="262" t="s">
        <v>32</v>
      </c>
      <c r="D3" s="263"/>
    </row>
    <row r="4" spans="1:4" x14ac:dyDescent="0.2">
      <c r="A4" s="261" t="s">
        <v>632</v>
      </c>
      <c r="B4" s="262" t="str">
        <f>HLOOKUP(MTREF,Headings,4)</f>
        <v>2025/26</v>
      </c>
      <c r="C4" s="262" t="s">
        <v>33</v>
      </c>
      <c r="D4" s="263"/>
    </row>
    <row r="5" spans="1:4" x14ac:dyDescent="0.2">
      <c r="A5" s="261" t="s">
        <v>861</v>
      </c>
      <c r="B5" s="262" t="str">
        <f>HLOOKUP(MTREF,Headings,3)</f>
        <v>2025/26 Medium Term Revenue &amp; Expenditure Framework</v>
      </c>
      <c r="C5" s="262" t="s">
        <v>28</v>
      </c>
      <c r="D5" s="263"/>
    </row>
    <row r="6" spans="1:4" x14ac:dyDescent="0.2">
      <c r="A6" s="2" t="s">
        <v>862</v>
      </c>
      <c r="B6" s="1" t="s">
        <v>471</v>
      </c>
      <c r="D6" s="7"/>
    </row>
    <row r="7" spans="1:4" x14ac:dyDescent="0.2">
      <c r="A7" s="2" t="s">
        <v>504</v>
      </c>
      <c r="B7" s="1" t="s">
        <v>505</v>
      </c>
      <c r="D7" s="7"/>
    </row>
    <row r="8" spans="1:4" x14ac:dyDescent="0.2">
      <c r="A8" s="2" t="s">
        <v>889</v>
      </c>
      <c r="B8" s="1" t="s">
        <v>890</v>
      </c>
      <c r="D8" s="7"/>
    </row>
    <row r="9" spans="1:4" x14ac:dyDescent="0.2">
      <c r="A9" s="2" t="s">
        <v>863</v>
      </c>
      <c r="B9" s="1" t="s">
        <v>558</v>
      </c>
      <c r="D9" s="7"/>
    </row>
    <row r="10" spans="1:4" x14ac:dyDescent="0.2">
      <c r="A10" s="2" t="s">
        <v>864</v>
      </c>
      <c r="B10" s="1" t="s">
        <v>773</v>
      </c>
      <c r="D10" s="7"/>
    </row>
    <row r="11" spans="1:4" x14ac:dyDescent="0.2">
      <c r="A11" s="2" t="s">
        <v>865</v>
      </c>
      <c r="B11" s="1" t="s">
        <v>774</v>
      </c>
      <c r="D11" s="7"/>
    </row>
    <row r="12" spans="1:4" x14ac:dyDescent="0.2">
      <c r="A12" s="261" t="s">
        <v>866</v>
      </c>
      <c r="B12" s="262" t="str">
        <f>HLOOKUP(MTREF,Headings,5)</f>
        <v>Budget Year 2025/26</v>
      </c>
      <c r="C12" s="262" t="s">
        <v>29</v>
      </c>
      <c r="D12" s="264" t="s">
        <v>646</v>
      </c>
    </row>
    <row r="13" spans="1:4" x14ac:dyDescent="0.2">
      <c r="A13" s="261" t="s">
        <v>867</v>
      </c>
      <c r="B13" s="262" t="str">
        <f>HLOOKUP(MTREF,Headings,6)</f>
        <v>Budget Year +1 2026/27</v>
      </c>
      <c r="C13" s="262" t="s">
        <v>30</v>
      </c>
      <c r="D13" s="264" t="s">
        <v>647</v>
      </c>
    </row>
    <row r="14" spans="1:4" x14ac:dyDescent="0.2">
      <c r="A14" s="261" t="s">
        <v>869</v>
      </c>
      <c r="B14" s="262" t="str">
        <f>HLOOKUP(MTREF,Headings,7)</f>
        <v>Budget Year +2 2027/28</v>
      </c>
      <c r="C14" s="262" t="s">
        <v>31</v>
      </c>
      <c r="D14" s="264" t="s">
        <v>648</v>
      </c>
    </row>
    <row r="15" spans="1:4" x14ac:dyDescent="0.2">
      <c r="A15" s="2" t="s">
        <v>870</v>
      </c>
      <c r="B15" s="1" t="s">
        <v>655</v>
      </c>
      <c r="D15" s="12" t="s">
        <v>649</v>
      </c>
    </row>
    <row r="16" spans="1:4" x14ac:dyDescent="0.2">
      <c r="A16" s="2" t="s">
        <v>871</v>
      </c>
      <c r="B16" s="1" t="s">
        <v>656</v>
      </c>
      <c r="D16" s="12" t="s">
        <v>650</v>
      </c>
    </row>
    <row r="17" spans="1:4" x14ac:dyDescent="0.2">
      <c r="A17" s="2" t="s">
        <v>872</v>
      </c>
      <c r="B17" s="1" t="s">
        <v>657</v>
      </c>
      <c r="D17" s="12" t="s">
        <v>651</v>
      </c>
    </row>
    <row r="18" spans="1:4" x14ac:dyDescent="0.2">
      <c r="A18" s="2" t="s">
        <v>873</v>
      </c>
      <c r="B18" s="1" t="s">
        <v>658</v>
      </c>
      <c r="D18" s="12" t="s">
        <v>652</v>
      </c>
    </row>
    <row r="19" spans="1:4" x14ac:dyDescent="0.2">
      <c r="A19" s="2" t="s">
        <v>874</v>
      </c>
      <c r="B19" s="1" t="s">
        <v>512</v>
      </c>
      <c r="D19" s="12" t="s">
        <v>653</v>
      </c>
    </row>
    <row r="20" spans="1:4" x14ac:dyDescent="0.2">
      <c r="A20" s="2" t="s">
        <v>875</v>
      </c>
      <c r="B20" s="1" t="s">
        <v>513</v>
      </c>
      <c r="D20" s="12" t="s">
        <v>654</v>
      </c>
    </row>
    <row r="21" spans="1:4" x14ac:dyDescent="0.2">
      <c r="A21" s="2" t="s">
        <v>876</v>
      </c>
      <c r="B21" s="1" t="s">
        <v>514</v>
      </c>
      <c r="D21" s="12" t="s">
        <v>567</v>
      </c>
    </row>
    <row r="22" spans="1:4" x14ac:dyDescent="0.2">
      <c r="A22" s="2" t="s">
        <v>877</v>
      </c>
      <c r="B22" s="1" t="s">
        <v>515</v>
      </c>
      <c r="D22" s="12" t="s">
        <v>437</v>
      </c>
    </row>
    <row r="23" spans="1:4" x14ac:dyDescent="0.2">
      <c r="A23" s="2" t="s">
        <v>878</v>
      </c>
      <c r="B23" s="1" t="s">
        <v>404</v>
      </c>
      <c r="D23" s="12" t="s">
        <v>438</v>
      </c>
    </row>
    <row r="24" spans="1:4" x14ac:dyDescent="0.2">
      <c r="A24" s="2" t="s">
        <v>879</v>
      </c>
      <c r="B24" s="1" t="s">
        <v>403</v>
      </c>
      <c r="D24" s="12" t="s">
        <v>439</v>
      </c>
    </row>
    <row r="25" spans="1:4" x14ac:dyDescent="0.2">
      <c r="A25" s="2" t="s">
        <v>880</v>
      </c>
      <c r="B25" s="1" t="s">
        <v>516</v>
      </c>
      <c r="D25" s="12" t="s">
        <v>440</v>
      </c>
    </row>
    <row r="26" spans="1:4" x14ac:dyDescent="0.2">
      <c r="A26" s="2" t="s">
        <v>881</v>
      </c>
      <c r="B26" s="1" t="s">
        <v>868</v>
      </c>
      <c r="D26" s="12" t="s">
        <v>441</v>
      </c>
    </row>
    <row r="27" spans="1:4" x14ac:dyDescent="0.2">
      <c r="A27" s="2" t="s">
        <v>576</v>
      </c>
      <c r="B27" s="1" t="s">
        <v>621</v>
      </c>
      <c r="D27" s="12" t="s">
        <v>577</v>
      </c>
    </row>
    <row r="28" spans="1:4" x14ac:dyDescent="0.2">
      <c r="A28" s="2" t="s">
        <v>502</v>
      </c>
      <c r="B28" s="1" t="s">
        <v>394</v>
      </c>
      <c r="D28" s="12" t="s">
        <v>503</v>
      </c>
    </row>
    <row r="29" spans="1:4" x14ac:dyDescent="0.2">
      <c r="A29" s="2" t="s">
        <v>607</v>
      </c>
      <c r="B29" s="1" t="s">
        <v>608</v>
      </c>
      <c r="D29" s="12" t="s">
        <v>609</v>
      </c>
    </row>
    <row r="30" spans="1:4" x14ac:dyDescent="0.2">
      <c r="A30" s="2" t="s">
        <v>610</v>
      </c>
      <c r="B30" s="1" t="s">
        <v>524</v>
      </c>
      <c r="D30" s="12"/>
    </row>
    <row r="31" spans="1:4" x14ac:dyDescent="0.2">
      <c r="A31" s="2" t="s">
        <v>594</v>
      </c>
      <c r="B31" s="1" t="s">
        <v>595</v>
      </c>
      <c r="D31" s="12"/>
    </row>
    <row r="32" spans="1:4" x14ac:dyDescent="0.2">
      <c r="A32" s="2" t="s">
        <v>517</v>
      </c>
      <c r="B32" s="1" t="s">
        <v>824</v>
      </c>
      <c r="D32" s="12" t="s">
        <v>518</v>
      </c>
    </row>
    <row r="33" spans="1:4" x14ac:dyDescent="0.2">
      <c r="A33" s="2" t="s">
        <v>709</v>
      </c>
      <c r="B33" s="1" t="s">
        <v>715</v>
      </c>
      <c r="D33" s="12"/>
    </row>
    <row r="34" spans="1:4" x14ac:dyDescent="0.2">
      <c r="A34" s="2" t="s">
        <v>710</v>
      </c>
      <c r="B34" s="1" t="s">
        <v>716</v>
      </c>
      <c r="D34" s="12"/>
    </row>
    <row r="35" spans="1:4" x14ac:dyDescent="0.2">
      <c r="A35" s="2" t="s">
        <v>711</v>
      </c>
      <c r="B35" s="1" t="s">
        <v>477</v>
      </c>
      <c r="D35" s="12"/>
    </row>
    <row r="36" spans="1:4" x14ac:dyDescent="0.2">
      <c r="A36" s="2" t="s">
        <v>712</v>
      </c>
      <c r="B36" s="1" t="s">
        <v>561</v>
      </c>
      <c r="D36" s="12"/>
    </row>
    <row r="37" spans="1:4" x14ac:dyDescent="0.2">
      <c r="A37" s="2" t="s">
        <v>713</v>
      </c>
      <c r="B37" s="1" t="s">
        <v>562</v>
      </c>
      <c r="D37" s="12"/>
    </row>
    <row r="38" spans="1:4" x14ac:dyDescent="0.2">
      <c r="A38" s="2" t="s">
        <v>714</v>
      </c>
      <c r="B38" s="1" t="s">
        <v>475</v>
      </c>
      <c r="D38" s="12"/>
    </row>
    <row r="39" spans="1:4" x14ac:dyDescent="0.2">
      <c r="A39" s="2" t="s">
        <v>476</v>
      </c>
      <c r="B39" s="1" t="s">
        <v>535</v>
      </c>
      <c r="D39" s="12"/>
    </row>
    <row r="40" spans="1:4" x14ac:dyDescent="0.2">
      <c r="A40" s="2" t="s">
        <v>688</v>
      </c>
      <c r="B40" s="1" t="s">
        <v>622</v>
      </c>
      <c r="D40" s="12"/>
    </row>
    <row r="41" spans="1:4" x14ac:dyDescent="0.2">
      <c r="A41" s="2" t="s">
        <v>689</v>
      </c>
      <c r="B41" s="1" t="s">
        <v>623</v>
      </c>
      <c r="D41" s="12"/>
    </row>
    <row r="42" spans="1:4" x14ac:dyDescent="0.2">
      <c r="A42" s="2" t="s">
        <v>690</v>
      </c>
      <c r="B42" s="1" t="s">
        <v>695</v>
      </c>
      <c r="D42" s="12"/>
    </row>
    <row r="43" spans="1:4" x14ac:dyDescent="0.2">
      <c r="A43" s="2" t="s">
        <v>694</v>
      </c>
      <c r="B43" s="1" t="s">
        <v>663</v>
      </c>
      <c r="D43" s="12"/>
    </row>
    <row r="44" spans="1:4" x14ac:dyDescent="0.2">
      <c r="A44" s="2" t="s">
        <v>461</v>
      </c>
      <c r="B44" s="5" t="s">
        <v>664</v>
      </c>
      <c r="D44" s="12"/>
    </row>
    <row r="45" spans="1:4" x14ac:dyDescent="0.2">
      <c r="A45" s="2" t="s">
        <v>462</v>
      </c>
      <c r="B45" s="5" t="s">
        <v>730</v>
      </c>
      <c r="D45" s="12"/>
    </row>
    <row r="46" spans="1:4" x14ac:dyDescent="0.2">
      <c r="A46" s="2" t="s">
        <v>463</v>
      </c>
      <c r="B46" s="5" t="s">
        <v>436</v>
      </c>
      <c r="D46" s="12"/>
    </row>
    <row r="47" spans="1:4" x14ac:dyDescent="0.2">
      <c r="A47" s="2" t="s">
        <v>729</v>
      </c>
      <c r="B47" s="5" t="str">
        <f>Head3&amp;" Summary"</f>
        <v>2025/26 Medium Term Revenue &amp; Expenditure Framework Summary</v>
      </c>
      <c r="D47" s="12"/>
    </row>
    <row r="48" spans="1:4" x14ac:dyDescent="0.2">
      <c r="A48" s="2" t="s">
        <v>563</v>
      </c>
      <c r="B48" s="5" t="s">
        <v>566</v>
      </c>
      <c r="D48" s="12"/>
    </row>
    <row r="49" spans="1:4" x14ac:dyDescent="0.2">
      <c r="A49" s="2" t="s">
        <v>564</v>
      </c>
      <c r="B49" s="5" t="s">
        <v>565</v>
      </c>
      <c r="D49" s="12"/>
    </row>
    <row r="50" spans="1:4" x14ac:dyDescent="0.2">
      <c r="A50" s="2" t="s">
        <v>851</v>
      </c>
      <c r="B50" s="14" t="s">
        <v>425</v>
      </c>
      <c r="C50" s="15"/>
      <c r="D50" s="12"/>
    </row>
    <row r="51" spans="1:4" x14ac:dyDescent="0.2">
      <c r="A51" s="2" t="s">
        <v>593</v>
      </c>
      <c r="B51" s="5" t="s">
        <v>579</v>
      </c>
      <c r="D51" s="12"/>
    </row>
    <row r="52" spans="1:4" x14ac:dyDescent="0.2">
      <c r="A52" s="2" t="s">
        <v>526</v>
      </c>
      <c r="B52" s="5" t="s">
        <v>396</v>
      </c>
      <c r="D52" s="12"/>
    </row>
    <row r="53" spans="1:4" x14ac:dyDescent="0.2">
      <c r="A53" s="2" t="s">
        <v>586</v>
      </c>
      <c r="B53" s="5" t="s">
        <v>588</v>
      </c>
      <c r="D53" s="12"/>
    </row>
    <row r="54" spans="1:4" x14ac:dyDescent="0.2">
      <c r="A54" s="2" t="s">
        <v>587</v>
      </c>
      <c r="B54" s="5" t="s">
        <v>769</v>
      </c>
      <c r="D54" s="12"/>
    </row>
    <row r="55" spans="1:4" x14ac:dyDescent="0.2">
      <c r="A55" s="2" t="s">
        <v>764</v>
      </c>
      <c r="B55" s="5" t="s">
        <v>768</v>
      </c>
      <c r="D55" s="12"/>
    </row>
    <row r="56" spans="1:4" x14ac:dyDescent="0.2">
      <c r="A56" s="2" t="s">
        <v>765</v>
      </c>
      <c r="B56" s="5" t="s">
        <v>424</v>
      </c>
      <c r="D56" s="12"/>
    </row>
    <row r="57" spans="1:4" x14ac:dyDescent="0.2">
      <c r="A57" s="2" t="s">
        <v>766</v>
      </c>
      <c r="B57" s="5" t="s">
        <v>770</v>
      </c>
      <c r="D57" s="12"/>
    </row>
    <row r="58" spans="1:4" x14ac:dyDescent="0.2">
      <c r="A58" s="2" t="s">
        <v>767</v>
      </c>
      <c r="B58" s="5" t="s">
        <v>886</v>
      </c>
      <c r="D58" s="12"/>
    </row>
    <row r="59" spans="1:4" x14ac:dyDescent="0.2">
      <c r="A59" s="2" t="s">
        <v>613</v>
      </c>
      <c r="B59" s="5" t="s">
        <v>423</v>
      </c>
      <c r="D59" s="12"/>
    </row>
    <row r="60" spans="1:4" x14ac:dyDescent="0.2">
      <c r="A60" s="2" t="s">
        <v>733</v>
      </c>
      <c r="B60" s="5" t="s">
        <v>734</v>
      </c>
      <c r="D60" s="12"/>
    </row>
    <row r="61" spans="1:4" x14ac:dyDescent="0.2">
      <c r="A61" s="2" t="s">
        <v>661</v>
      </c>
      <c r="B61" s="226" t="str">
        <f>date</f>
        <v>M10 April</v>
      </c>
      <c r="D61" s="12"/>
    </row>
    <row r="62" spans="1:4" x14ac:dyDescent="0.2">
      <c r="A62" s="2" t="s">
        <v>891</v>
      </c>
      <c r="B62" s="5" t="s">
        <v>892</v>
      </c>
      <c r="D62" s="12"/>
    </row>
    <row r="63" spans="1:4" x14ac:dyDescent="0.2">
      <c r="A63" s="2" t="s">
        <v>893</v>
      </c>
      <c r="B63" s="5" t="s">
        <v>578</v>
      </c>
      <c r="D63" s="12"/>
    </row>
    <row r="64" spans="1:4" x14ac:dyDescent="0.2">
      <c r="A64" s="2" t="s">
        <v>12</v>
      </c>
      <c r="B64" s="5" t="s">
        <v>818</v>
      </c>
      <c r="C64" s="7" t="s">
        <v>34</v>
      </c>
      <c r="D64" s="265" t="str">
        <f>date</f>
        <v>M10 April</v>
      </c>
    </row>
    <row r="65" spans="1:6" x14ac:dyDescent="0.2">
      <c r="A65" s="2" t="s">
        <v>781</v>
      </c>
      <c r="B65" s="5" t="s">
        <v>779</v>
      </c>
      <c r="D65" s="12"/>
    </row>
    <row r="66" spans="1:6" x14ac:dyDescent="0.2">
      <c r="A66" s="2" t="s">
        <v>782</v>
      </c>
      <c r="B66" s="5" t="s">
        <v>780</v>
      </c>
      <c r="D66" s="12"/>
    </row>
    <row r="67" spans="1:6" x14ac:dyDescent="0.2">
      <c r="A67" s="2" t="s">
        <v>783</v>
      </c>
      <c r="B67" s="5" t="s">
        <v>785</v>
      </c>
      <c r="D67" s="12"/>
    </row>
    <row r="68" spans="1:6" x14ac:dyDescent="0.2">
      <c r="A68" s="2" t="s">
        <v>784</v>
      </c>
      <c r="B68" s="5" t="s">
        <v>603</v>
      </c>
      <c r="D68" s="12"/>
    </row>
    <row r="69" spans="1:6" x14ac:dyDescent="0.2">
      <c r="A69" s="2" t="s">
        <v>604</v>
      </c>
      <c r="B69" s="5" t="s">
        <v>640</v>
      </c>
      <c r="D69" s="12"/>
    </row>
    <row r="70" spans="1:6" x14ac:dyDescent="0.2">
      <c r="A70" s="2" t="s">
        <v>605</v>
      </c>
      <c r="B70" s="5" t="s">
        <v>641</v>
      </c>
      <c r="D70" s="12"/>
    </row>
    <row r="71" spans="1:6" x14ac:dyDescent="0.2">
      <c r="A71" s="2" t="s">
        <v>643</v>
      </c>
      <c r="B71" s="5" t="s">
        <v>642</v>
      </c>
      <c r="D71" s="12"/>
    </row>
    <row r="72" spans="1:6" x14ac:dyDescent="0.2">
      <c r="A72" s="824" t="s">
        <v>699</v>
      </c>
      <c r="B72" s="825"/>
      <c r="C72" s="825"/>
      <c r="D72" s="826"/>
    </row>
    <row r="73" spans="1:6" x14ac:dyDescent="0.2">
      <c r="A73" s="266" t="s">
        <v>606</v>
      </c>
      <c r="B73" s="262" t="str">
        <f>'Lookup and lists'!B27</f>
        <v>KZN282 uMhlathuze</v>
      </c>
      <c r="C73" s="262"/>
      <c r="D73" s="3"/>
    </row>
    <row r="74" spans="1:6" x14ac:dyDescent="0.2">
      <c r="A74" s="266" t="s">
        <v>65</v>
      </c>
      <c r="B74" s="267">
        <v>2</v>
      </c>
      <c r="C74" s="262" t="s">
        <v>134</v>
      </c>
      <c r="D74" s="3">
        <v>1</v>
      </c>
    </row>
    <row r="75" spans="1:6" x14ac:dyDescent="0.2">
      <c r="A75" s="237" t="str">
        <f>IF((MuniEntities=1)*(MuniType=2),"YES","NO")</f>
        <v>NO</v>
      </c>
      <c r="B75" s="1" t="s">
        <v>573</v>
      </c>
      <c r="C75" s="225"/>
      <c r="D75" s="3"/>
    </row>
    <row r="76" spans="1:6" x14ac:dyDescent="0.2">
      <c r="A76" s="822" t="s">
        <v>737</v>
      </c>
      <c r="B76" s="823"/>
      <c r="C76" s="175"/>
      <c r="D76" s="16"/>
    </row>
    <row r="77" spans="1:6" x14ac:dyDescent="0.2">
      <c r="A77" s="9" t="s">
        <v>585</v>
      </c>
      <c r="B77" s="191" t="str">
        <f t="shared" ref="B77:B83" si="0">IF(Consolques="YES",E77,F77)</f>
        <v>Table C1 Monthly Budget Statement Summary</v>
      </c>
      <c r="C77" s="6"/>
      <c r="D77" s="12" t="s">
        <v>68</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0" t="s">
        <v>529</v>
      </c>
      <c r="B78" s="1" t="str">
        <f t="shared" si="0"/>
        <v>Table C3 Monthly Budget Statement - Financial Performance (revenue and expenditure by municipal vote)</v>
      </c>
      <c r="D78" s="12" t="s">
        <v>70</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0" t="s">
        <v>624</v>
      </c>
      <c r="B79" s="1" t="str">
        <f>IF(Consolques="YES",E79,F79)</f>
        <v>Table C2 Monthly Budget Statement - Financial Performance (functional classification)</v>
      </c>
      <c r="D79" s="12" t="s">
        <v>69</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0" t="s">
        <v>625</v>
      </c>
      <c r="B80" s="1" t="str">
        <f>IF(Consolques="YES",E80,F80)</f>
        <v>Table C4 Monthly Budget Statement - Financial Performance (revenue and expenditure)</v>
      </c>
      <c r="D80" s="12" t="s">
        <v>71</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0" t="s">
        <v>530</v>
      </c>
      <c r="B81" s="1" t="str">
        <f>IF(Consolques="YES",E81,F81)</f>
        <v>Table C5 Monthly Budget Statement - Capital Expenditure (municipal vote, functional classification and funding)</v>
      </c>
      <c r="D81" s="12" t="s">
        <v>72</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0" t="s">
        <v>626</v>
      </c>
      <c r="B82" s="1" t="str">
        <f t="shared" si="0"/>
        <v>Table C6 Monthly Budget Statement - Financial Position</v>
      </c>
      <c r="D82" s="12" t="s">
        <v>73</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0" t="s">
        <v>627</v>
      </c>
      <c r="B83" s="1" t="str">
        <f t="shared" si="0"/>
        <v xml:space="preserve">Table C7 Monthly Budget Statement - Cash Flow </v>
      </c>
      <c r="D83" s="12" t="s">
        <v>74</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0" t="s">
        <v>531</v>
      </c>
      <c r="B84" s="1" t="str">
        <f>D84&amp;"Material variance explanations "</f>
        <v xml:space="preserve">Supporting Table SC1 Material variance explanations </v>
      </c>
      <c r="D84" s="12" t="s">
        <v>80</v>
      </c>
    </row>
    <row r="85" spans="1:6" x14ac:dyDescent="0.2">
      <c r="A85" s="10" t="s">
        <v>628</v>
      </c>
      <c r="B85" s="1" t="str">
        <f>D85&amp;"Monthly Budget Statement - performance indicators  "</f>
        <v xml:space="preserve">Supporting Table SC2 Monthly Budget Statement - performance indicators  </v>
      </c>
      <c r="D85" s="12" t="s">
        <v>81</v>
      </c>
    </row>
    <row r="86" spans="1:6" x14ac:dyDescent="0.2">
      <c r="A86" s="10" t="s">
        <v>629</v>
      </c>
      <c r="B86" s="1" t="str">
        <f>D86&amp;"Monthly Budget Statement - aged debtors"</f>
        <v>Supporting Table SC3 Monthly Budget Statement - aged debtors</v>
      </c>
      <c r="D86" s="12" t="s">
        <v>82</v>
      </c>
    </row>
    <row r="87" spans="1:6" x14ac:dyDescent="0.2">
      <c r="A87" s="10" t="s">
        <v>630</v>
      </c>
      <c r="B87" s="1" t="str">
        <f>D87&amp;"Monthly Budget Statement - aged creditors "</f>
        <v xml:space="preserve">Supporting Table SC4 Monthly Budget Statement - aged creditors </v>
      </c>
      <c r="D87" s="12" t="s">
        <v>83</v>
      </c>
    </row>
    <row r="88" spans="1:6" x14ac:dyDescent="0.2">
      <c r="A88" s="10" t="s">
        <v>10</v>
      </c>
      <c r="B88" s="1" t="str">
        <f>D88&amp;"Monthly Budget Statement - investment portfolio "</f>
        <v xml:space="preserve">Supporting Table SC5 Monthly Budget Statement - investment portfolio </v>
      </c>
      <c r="D88" s="12" t="s">
        <v>84</v>
      </c>
    </row>
    <row r="89" spans="1:6" x14ac:dyDescent="0.2">
      <c r="A89" s="10" t="s">
        <v>693</v>
      </c>
      <c r="B89" s="1" t="str">
        <f>D89&amp;"Monthly Budget Statement - transfers and grant receipts "</f>
        <v xml:space="preserve">Supporting Table SC6 Monthly Budget Statement - transfers and grant receipts </v>
      </c>
      <c r="D89" s="12" t="s">
        <v>85</v>
      </c>
    </row>
    <row r="90" spans="1:6" x14ac:dyDescent="0.2">
      <c r="A90" s="10" t="s">
        <v>854</v>
      </c>
      <c r="B90" s="1" t="str">
        <f>D90&amp;" Monthly Budget Statement - transfers and grant expenditure "</f>
        <v xml:space="preserve">Supporting Table SC7(1) Monthly Budget Statement - transfers and grant expenditure </v>
      </c>
      <c r="D90" s="12" t="s">
        <v>1000</v>
      </c>
    </row>
    <row r="91" spans="1:6" x14ac:dyDescent="0.2">
      <c r="A91" s="10" t="s">
        <v>855</v>
      </c>
      <c r="B91" s="1" t="str">
        <f>D91&amp;"Monthly Budget Statement - councillor and staff benefits "</f>
        <v xml:space="preserve">Supporting Table SC8 Monthly Budget Statement - councillor and staff benefits </v>
      </c>
      <c r="D91" s="12" t="s">
        <v>86</v>
      </c>
    </row>
    <row r="92" spans="1:6" x14ac:dyDescent="0.2">
      <c r="A92" s="10" t="s">
        <v>719</v>
      </c>
      <c r="B92" s="1" t="str">
        <f>D92&amp;"Monthly Budget Statement - actuals and revised targets for cash receipts"</f>
        <v>Supporting Table SC9 Monthly Budget Statement - actuals and revised targets for cash receipts</v>
      </c>
      <c r="D92" s="12" t="s">
        <v>87</v>
      </c>
    </row>
    <row r="93" spans="1:6" x14ac:dyDescent="0.2">
      <c r="A93" s="10" t="s">
        <v>720</v>
      </c>
      <c r="B93" s="1" t="str">
        <f t="shared" ref="B93:B99" si="1">IF(Consolques="YES",E93,F93)</f>
        <v>NOT REQUIRED - municipality does not have entities or this is the parent municipality's budget</v>
      </c>
      <c r="D93" s="12" t="s">
        <v>88</v>
      </c>
      <c r="E93" s="1" t="str">
        <f>D93&amp;"Monthly Budget Statement  - Parent Municipality Financial Performance (revenue and expenditure) "</f>
        <v xml:space="preserve">Supporting Table SC10 Monthly Budget Statement  - Parent Municipality Financial Performance (revenue and expenditure) </v>
      </c>
      <c r="F93" s="1" t="s">
        <v>739</v>
      </c>
    </row>
    <row r="94" spans="1:6" x14ac:dyDescent="0.2">
      <c r="A94" s="10" t="s">
        <v>721</v>
      </c>
      <c r="B94" s="1" t="str">
        <f t="shared" si="1"/>
        <v>NOT REQUIRED - municipality does not have entities or this is the parent municipality's budget</v>
      </c>
      <c r="D94" s="12" t="s">
        <v>89</v>
      </c>
      <c r="E94" s="1" t="str">
        <f>D94&amp;"Monthly Budget Statement - summary of municipal entities"</f>
        <v>Supporting Table SC11 Monthly Budget Statement - summary of municipal entities</v>
      </c>
      <c r="F94" s="1" t="s">
        <v>739</v>
      </c>
    </row>
    <row r="95" spans="1:6" x14ac:dyDescent="0.2">
      <c r="A95" s="10" t="s">
        <v>11</v>
      </c>
      <c r="B95" s="1" t="str">
        <f t="shared" si="1"/>
        <v>Supporting Table SC12 Monthly Budget Statement - capital expenditure trend</v>
      </c>
      <c r="D95" s="12" t="s">
        <v>90</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0" t="s">
        <v>138</v>
      </c>
      <c r="B96" s="1" t="str">
        <f t="shared" si="1"/>
        <v>Supporting Table SC13a Monthly Budget Statement - capital expenditure on new assets by asset class</v>
      </c>
      <c r="D96" s="12" t="s">
        <v>135</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0" t="s">
        <v>139</v>
      </c>
      <c r="B97" s="1" t="str">
        <f t="shared" si="1"/>
        <v>Supporting Table SC13b Monthly Budget Statement - capital expenditure on renewal of existing assets by asset class</v>
      </c>
      <c r="D97" s="12" t="s">
        <v>136</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0" t="s">
        <v>140</v>
      </c>
      <c r="B98" s="1" t="str">
        <f t="shared" si="1"/>
        <v>Supporting Table SC13c Monthly Budget Statement - expenditure on repairs and maintenance by asset class</v>
      </c>
      <c r="D98" s="12" t="s">
        <v>137</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0" t="s">
        <v>953</v>
      </c>
      <c r="B99" s="1" t="str">
        <f t="shared" si="1"/>
        <v>Supporting Table SC13d Monthly Budget Statement - depreciation by asset class</v>
      </c>
      <c r="D99" s="12" t="s">
        <v>954</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0" t="s">
        <v>1233</v>
      </c>
      <c r="B100" s="1" t="str">
        <f>IF(Consolques="YES",E100,F100)</f>
        <v>Supporting Table SC13e Monthly Budget Statement - capital expenditure on upgrading of existing assets by asset class</v>
      </c>
      <c r="D100" s="12" t="s">
        <v>1234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0"/>
      <c r="B101" s="4" t="s">
        <v>631</v>
      </c>
      <c r="C101" s="4"/>
      <c r="D101" s="12"/>
    </row>
    <row r="102" spans="1:6" x14ac:dyDescent="0.2">
      <c r="A102" s="10"/>
      <c r="B102" s="1" t="str">
        <f>D102&amp;Head2A&amp;" Capital Expenditure Monthly Trend: actual v target"</f>
        <v>Chart C1 2025/26 Capital Expenditure Monthly Trend: actual v target</v>
      </c>
      <c r="D102" s="12" t="s">
        <v>75</v>
      </c>
    </row>
    <row r="103" spans="1:6" x14ac:dyDescent="0.2">
      <c r="A103" s="10"/>
      <c r="B103" s="1" t="str">
        <f>D103&amp;Head2A&amp;" Capital Expenditure: YTD actual v YTD target"</f>
        <v>Chart C2 2025/26 Capital Expenditure: YTD actual v YTD target</v>
      </c>
      <c r="D103" s="12" t="s">
        <v>76</v>
      </c>
    </row>
    <row r="104" spans="1:6" x14ac:dyDescent="0.2">
      <c r="A104" s="10"/>
      <c r="B104" s="1" t="str">
        <f>D104&amp;"Aged Consumer Debtors Analysis"</f>
        <v>Chart C3 Aged Consumer Debtors Analysis</v>
      </c>
      <c r="D104" s="12" t="s">
        <v>77</v>
      </c>
    </row>
    <row r="105" spans="1:6" x14ac:dyDescent="0.2">
      <c r="A105" s="10"/>
      <c r="B105" s="1" t="str">
        <f>D105&amp;"Consumer Debtors (total by Debtor Customer Category)"</f>
        <v>Chart C4 Consumer Debtors (total by Debtor Customer Category)</v>
      </c>
      <c r="D105" s="12" t="s">
        <v>78</v>
      </c>
    </row>
    <row r="106" spans="1:6" x14ac:dyDescent="0.2">
      <c r="A106" s="11"/>
      <c r="B106" s="8" t="str">
        <f>D106&amp;"Aged Creditors Analysis"</f>
        <v>Chart C5 Aged Creditors Analysis</v>
      </c>
      <c r="C106" s="8"/>
      <c r="D106" s="13" t="s">
        <v>79</v>
      </c>
    </row>
    <row r="107" spans="1:6" x14ac:dyDescent="0.2">
      <c r="A107" s="10" t="s">
        <v>999</v>
      </c>
      <c r="B107" s="1" t="str">
        <f>D107&amp;" Monthly Budget Statement - Expenditure against approved rollovers"</f>
        <v>Supporting Table SC7(2) Monthly Budget Statement - Expenditure against approved rollovers</v>
      </c>
      <c r="D107" s="12" t="s">
        <v>1001</v>
      </c>
    </row>
    <row r="108" spans="1:6" x14ac:dyDescent="0.2">
      <c r="A108" s="1"/>
    </row>
    <row r="109" spans="1:6" x14ac:dyDescent="0.2">
      <c r="A109" s="1"/>
    </row>
    <row r="110" spans="1:6" x14ac:dyDescent="0.2">
      <c r="D110" s="3"/>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75788" r:id="rId5" name="Button 12">
              <controlPr defaultSize="0" print="0" autoFill="0" autoPict="0" macro="[0]!SaveForUsers">
                <anchor moveWithCells="1" sizeWithCells="1">
                  <from>
                    <xdr:col>4</xdr:col>
                    <xdr:colOff>171450</xdr:colOff>
                    <xdr:row>2</xdr:row>
                    <xdr:rowOff>104775</xdr:rowOff>
                  </from>
                  <to>
                    <xdr:col>4</xdr:col>
                    <xdr:colOff>1971675</xdr:colOff>
                    <xdr:row>4</xdr:row>
                    <xdr:rowOff>104775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sheetPr>
  <dimension ref="A1:AQ189"/>
  <sheetViews>
    <sheetView showGridLines="0" zoomScaleNormal="100" workbookViewId="0">
      <pane xSplit="2" ySplit="4" topLeftCell="C5" activePane="bottomRight" state="frozen"/>
      <selection pane="topRight"/>
      <selection pane="bottomLeft"/>
      <selection pane="bottomRight"/>
    </sheetView>
  </sheetViews>
  <sheetFormatPr defaultColWidth="9.28515625" defaultRowHeight="12.75" x14ac:dyDescent="0.25"/>
  <cols>
    <col min="1" max="1" width="37.28515625" style="21" bestFit="1" customWidth="1"/>
    <col min="2" max="2" width="3.28515625" style="21" customWidth="1"/>
    <col min="3" max="3" width="8.5703125" style="21" customWidth="1"/>
    <col min="4" max="4" width="8.140625" style="21" customWidth="1"/>
    <col min="5" max="5" width="8.42578125" style="21" customWidth="1"/>
    <col min="6" max="6" width="8.85546875" style="21" customWidth="1"/>
    <col min="7" max="7" width="8.7109375" style="21" customWidth="1"/>
    <col min="8" max="14" width="7.7109375" style="21" customWidth="1"/>
    <col min="15" max="17" width="8.7109375" style="21" customWidth="1"/>
    <col min="18" max="18" width="9.5703125" style="21" customWidth="1"/>
    <col min="19" max="19" width="9.7109375" style="21" customWidth="1"/>
    <col min="20" max="20" width="9.5703125" style="21" bestFit="1" customWidth="1"/>
    <col min="21" max="24" width="9.7109375" style="21" bestFit="1" customWidth="1"/>
    <col min="25" max="26" width="9.5703125" style="21" bestFit="1" customWidth="1"/>
    <col min="27" max="27" width="9.7109375" style="21" bestFit="1" customWidth="1"/>
    <col min="28" max="16384" width="9.28515625" style="21"/>
  </cols>
  <sheetData>
    <row r="1" spans="1:17" ht="13.5" x14ac:dyDescent="0.25">
      <c r="A1" s="477" t="str">
        <f>muni&amp; " - "&amp;S71O&amp; " - "&amp;Head57</f>
        <v>KZN282 uMhlathuze - Supporting Table SC9 Monthly Budget Statement - actuals and revised targets for cash receipts - M10 April</v>
      </c>
      <c r="B1" s="47"/>
    </row>
    <row r="2" spans="1:17" ht="25.5" customHeight="1" x14ac:dyDescent="0.25">
      <c r="A2" s="837" t="str">
        <f>desc</f>
        <v>Description</v>
      </c>
      <c r="B2" s="830" t="str">
        <f>head27</f>
        <v>Ref</v>
      </c>
      <c r="C2" s="832" t="str">
        <f>Head2</f>
        <v>Budget Year 2024/25</v>
      </c>
      <c r="D2" s="833"/>
      <c r="E2" s="833"/>
      <c r="F2" s="833"/>
      <c r="G2" s="833"/>
      <c r="H2" s="833"/>
      <c r="I2" s="833"/>
      <c r="J2" s="833"/>
      <c r="K2" s="833"/>
      <c r="L2" s="833"/>
      <c r="M2" s="833"/>
      <c r="N2" s="884"/>
      <c r="O2" s="832" t="str">
        <f>'Template names'!B5</f>
        <v>2025/26 Medium Term Revenue &amp; Expenditure Framework</v>
      </c>
      <c r="P2" s="833"/>
      <c r="Q2" s="834"/>
    </row>
    <row r="3" spans="1:17" ht="12.75" customHeight="1" x14ac:dyDescent="0.25">
      <c r="A3" s="838"/>
      <c r="B3" s="841"/>
      <c r="C3" s="583" t="s">
        <v>728</v>
      </c>
      <c r="D3" s="22" t="s">
        <v>835</v>
      </c>
      <c r="E3" s="22" t="s">
        <v>3</v>
      </c>
      <c r="F3" s="22" t="s">
        <v>836</v>
      </c>
      <c r="G3" s="22" t="s">
        <v>4</v>
      </c>
      <c r="H3" s="22" t="s">
        <v>5</v>
      </c>
      <c r="I3" s="22" t="s">
        <v>839</v>
      </c>
      <c r="J3" s="22" t="s">
        <v>6</v>
      </c>
      <c r="K3" s="22" t="s">
        <v>841</v>
      </c>
      <c r="L3" s="22" t="s">
        <v>842</v>
      </c>
      <c r="M3" s="22" t="s">
        <v>843</v>
      </c>
      <c r="N3" s="584" t="s">
        <v>844</v>
      </c>
      <c r="O3" s="882" t="str">
        <f>Head9</f>
        <v>Budget Year 2025/26</v>
      </c>
      <c r="P3" s="878" t="str">
        <f>Head10</f>
        <v>Budget Year +1 2026/27</v>
      </c>
      <c r="Q3" s="880" t="str">
        <f>Head11</f>
        <v>Budget Year +2 2027/28</v>
      </c>
    </row>
    <row r="4" spans="1:17" ht="13.5" customHeight="1" x14ac:dyDescent="0.25">
      <c r="A4" s="519" t="s">
        <v>615</v>
      </c>
      <c r="B4" s="141">
        <v>1</v>
      </c>
      <c r="C4" s="585" t="str">
        <f>Calc!D8</f>
        <v>Actual</v>
      </c>
      <c r="D4" s="586" t="str">
        <f>Calc!D9</f>
        <v>Actual</v>
      </c>
      <c r="E4" s="586" t="str">
        <f>Calc!D10</f>
        <v>Actual</v>
      </c>
      <c r="F4" s="586" t="str">
        <f>Calc!D11</f>
        <v>Actual</v>
      </c>
      <c r="G4" s="586" t="str">
        <f>Calc!D12</f>
        <v>Actual</v>
      </c>
      <c r="H4" s="586" t="str">
        <f>Calc!D13</f>
        <v>Actual</v>
      </c>
      <c r="I4" s="586" t="str">
        <f>Calc!D14</f>
        <v>Actual</v>
      </c>
      <c r="J4" s="586" t="str">
        <f>Calc!D15</f>
        <v>Actual</v>
      </c>
      <c r="K4" s="586" t="str">
        <f>Calc!D16</f>
        <v>Actual</v>
      </c>
      <c r="L4" s="586" t="str">
        <f>Calc!D17</f>
        <v>Actual</v>
      </c>
      <c r="M4" s="586" t="str">
        <f>Calc!D18</f>
        <v>Budget</v>
      </c>
      <c r="N4" s="587" t="str">
        <f>Calc!D19</f>
        <v>Budget</v>
      </c>
      <c r="O4" s="883"/>
      <c r="P4" s="879"/>
      <c r="Q4" s="881"/>
    </row>
    <row r="5" spans="1:17" ht="12.75" customHeight="1" x14ac:dyDescent="0.25">
      <c r="A5" s="29" t="s">
        <v>857</v>
      </c>
      <c r="B5" s="340"/>
      <c r="C5" s="148"/>
      <c r="D5" s="132"/>
      <c r="E5" s="132"/>
      <c r="F5" s="132"/>
      <c r="G5" s="132"/>
      <c r="H5" s="132"/>
      <c r="I5" s="132"/>
      <c r="J5" s="132"/>
      <c r="K5" s="132"/>
      <c r="L5" s="132"/>
      <c r="M5" s="132"/>
      <c r="N5" s="588"/>
      <c r="O5" s="131"/>
      <c r="P5" s="132"/>
      <c r="Q5" s="691"/>
    </row>
    <row r="6" spans="1:17" ht="12.75" customHeight="1" x14ac:dyDescent="0.25">
      <c r="A6" s="30" t="s">
        <v>856</v>
      </c>
      <c r="B6" s="354"/>
      <c r="C6" s="415">
        <f>IF(Calc!$B$8&lt;=Calc!$D$1,'SC9 Q'!AL6,'SC9 Q'!B6)</f>
        <v>48028416.329999998</v>
      </c>
      <c r="D6" s="415">
        <f>IF(Calc!$B$9&lt;=Calc!$D$1,'SC9 Q'!AM6,'SC9 Q'!C6)</f>
        <v>51509452.270000003</v>
      </c>
      <c r="E6" s="415">
        <f>IF(Calc!$B$10&lt;=Calc!$D$1,'SC9 Q'!AN6,'SC9 Q'!D6)</f>
        <v>50720177.07</v>
      </c>
      <c r="F6" s="415">
        <f>IF(Calc!$B$11&lt;=Calc!$D$1,'SC9 Q'!AO6,'SC9 Q'!E6)</f>
        <v>51294909.869999997</v>
      </c>
      <c r="G6" s="415">
        <f>IF(Calc!$B$12&lt;=Calc!$D$1,'SC9 Q'!AP6,'SC9 Q'!F6)</f>
        <v>52141063.079999998</v>
      </c>
      <c r="H6" s="415">
        <f>IF(Calc!$B$13&lt;=Calc!$D$1,'SC9 Q'!AQ6,'SC9 Q'!G6)</f>
        <v>56876129.329999998</v>
      </c>
      <c r="I6" s="415">
        <f>IF(Calc!$B$14&lt;=Calc!$D$1,'SC9 Q'!AR6,'SC9 Q'!H6)</f>
        <v>50159829.770000003</v>
      </c>
      <c r="J6" s="415">
        <f>IF(Calc!$B$15&lt;=Calc!$D$1,'SC9 Q'!AS6,'SC9 Q'!I6)</f>
        <v>54116066.32</v>
      </c>
      <c r="K6" s="415">
        <f>IF(Calc!$B$16&lt;=Calc!$D$1,'SC9 Q'!AT6,'SC9 Q'!J6)</f>
        <v>54312524.200000003</v>
      </c>
      <c r="L6" s="415">
        <f>IF(Calc!$B$17&lt;=Calc!$D$1,'SC9 Q'!AU6,'SC9 Q'!K6)</f>
        <v>49443840.009999998</v>
      </c>
      <c r="M6" s="415">
        <f>IF(Calc!$B$18&lt;=Calc!$D$1,'SC9 Q'!AV6,'SC9 Q'!L6)</f>
        <v>55789585</v>
      </c>
      <c r="N6" s="763">
        <f>O6-SUM(C6:M6)</f>
        <v>159719950.25</v>
      </c>
      <c r="O6" s="366">
        <f>SUM('SC9 Q'!B6:M6)</f>
        <v>734111943.5</v>
      </c>
      <c r="P6" s="331">
        <f>'C7Q'!F4</f>
        <v>792629622.89999998</v>
      </c>
      <c r="Q6" s="332">
        <f>'C7Q'!G4</f>
        <v>832260912.89999998</v>
      </c>
    </row>
    <row r="7" spans="1:17" ht="12.75" customHeight="1" x14ac:dyDescent="0.25">
      <c r="A7" s="30" t="s">
        <v>1348</v>
      </c>
      <c r="B7" s="354"/>
      <c r="C7" s="415">
        <f>IF(Calc!$B$8&lt;=Calc!$D$1,'SC9 Q'!AL7,'SC9 Q'!B7)</f>
        <v>178022865.13</v>
      </c>
      <c r="D7" s="415">
        <f>IF(Calc!$B$9&lt;=Calc!$D$1,'SC9 Q'!AM7,'SC9 Q'!C7)</f>
        <v>262812454.75</v>
      </c>
      <c r="E7" s="415">
        <f>IF(Calc!$B$10&lt;=Calc!$D$1,'SC9 Q'!AN7,'SC9 Q'!D7)</f>
        <v>238772428.94999999</v>
      </c>
      <c r="F7" s="415">
        <f>IF(Calc!$B$11&lt;=Calc!$D$1,'SC9 Q'!AO7,'SC9 Q'!E7)</f>
        <v>219217913.62</v>
      </c>
      <c r="G7" s="415">
        <f>IF(Calc!$B$12&lt;=Calc!$D$1,'SC9 Q'!AP7,'SC9 Q'!F7)</f>
        <v>150590722.72999999</v>
      </c>
      <c r="H7" s="415">
        <f>IF(Calc!$B$13&lt;=Calc!$D$1,'SC9 Q'!AQ7,'SC9 Q'!G7)</f>
        <v>211161415.16999999</v>
      </c>
      <c r="I7" s="415">
        <f>IF(Calc!$B$14&lt;=Calc!$D$1,'SC9 Q'!AR7,'SC9 Q'!H7)</f>
        <v>181465835.5</v>
      </c>
      <c r="J7" s="415">
        <f>IF(Calc!$B$15&lt;=Calc!$D$1,'SC9 Q'!AS7,'SC9 Q'!I7)</f>
        <v>185917833.22999999</v>
      </c>
      <c r="K7" s="415">
        <f>IF(Calc!$B$16&lt;=Calc!$D$1,'SC9 Q'!AT7,'SC9 Q'!J7)</f>
        <v>183332463.72999999</v>
      </c>
      <c r="L7" s="415">
        <f>IF(Calc!$B$17&lt;=Calc!$D$1,'SC9 Q'!AU7,'SC9 Q'!K7)</f>
        <v>189840280.69999999</v>
      </c>
      <c r="M7" s="415">
        <f>IF(Calc!$B$18&lt;=Calc!$D$1,'SC9 Q'!AV7,'SC9 Q'!L7)</f>
        <v>249573868.25</v>
      </c>
      <c r="N7" s="763">
        <f t="shared" ref="N7:N20" si="0">O7-SUM(C7:M7)</f>
        <v>314980863</v>
      </c>
      <c r="O7" s="366">
        <f>SUM('SC9 Q'!B7:M7)</f>
        <v>2565688944.7600002</v>
      </c>
      <c r="P7" s="331">
        <f>'C7Q'!F5</f>
        <v>2959306927.8000002</v>
      </c>
      <c r="Q7" s="332">
        <f>'C7Q'!G5</f>
        <v>3222685313.25</v>
      </c>
    </row>
    <row r="8" spans="1:17" ht="12.75" customHeight="1" x14ac:dyDescent="0.25">
      <c r="A8" s="30" t="s">
        <v>1349</v>
      </c>
      <c r="B8" s="354"/>
      <c r="C8" s="415">
        <f>IF(Calc!$B$8&lt;=Calc!$D$1,'SC9 Q'!AL8,'SC9 Q'!B8)</f>
        <v>36597824.32</v>
      </c>
      <c r="D8" s="415">
        <f>IF(Calc!$B$9&lt;=Calc!$D$1,'SC9 Q'!AM8,'SC9 Q'!C8)</f>
        <v>31310200.620000001</v>
      </c>
      <c r="E8" s="415">
        <f>IF(Calc!$B$10&lt;=Calc!$D$1,'SC9 Q'!AN8,'SC9 Q'!D8)</f>
        <v>43124444.210000001</v>
      </c>
      <c r="F8" s="415">
        <f>IF(Calc!$B$11&lt;=Calc!$D$1,'SC9 Q'!AO8,'SC9 Q'!E8)</f>
        <v>50693235.799999997</v>
      </c>
      <c r="G8" s="415">
        <f>IF(Calc!$B$12&lt;=Calc!$D$1,'SC9 Q'!AP8,'SC9 Q'!F8)</f>
        <v>36582613.990000002</v>
      </c>
      <c r="H8" s="415">
        <f>IF(Calc!$B$13&lt;=Calc!$D$1,'SC9 Q'!AQ8,'SC9 Q'!G8)</f>
        <v>39773777.700000003</v>
      </c>
      <c r="I8" s="415">
        <f>IF(Calc!$B$14&lt;=Calc!$D$1,'SC9 Q'!AR8,'SC9 Q'!H8)</f>
        <v>43448408.979999997</v>
      </c>
      <c r="J8" s="415">
        <f>IF(Calc!$B$15&lt;=Calc!$D$1,'SC9 Q'!AS8,'SC9 Q'!I8)</f>
        <v>39304024.909999996</v>
      </c>
      <c r="K8" s="415">
        <f>IF(Calc!$B$16&lt;=Calc!$D$1,'SC9 Q'!AT8,'SC9 Q'!J8)</f>
        <v>38336639.719999999</v>
      </c>
      <c r="L8" s="415">
        <f>IF(Calc!$B$17&lt;=Calc!$D$1,'SC9 Q'!AU8,'SC9 Q'!K8)</f>
        <v>40252078.399999999</v>
      </c>
      <c r="M8" s="415">
        <f>IF(Calc!$B$18&lt;=Calc!$D$1,'SC9 Q'!AV8,'SC9 Q'!L8)</f>
        <v>59764670.799999997</v>
      </c>
      <c r="N8" s="763">
        <f t="shared" si="0"/>
        <v>169556810.05000001</v>
      </c>
      <c r="O8" s="366">
        <f>SUM('SC9 Q'!B8:M8)</f>
        <v>628744729.5</v>
      </c>
      <c r="P8" s="331">
        <f>'C7Q'!F6</f>
        <v>724010859</v>
      </c>
      <c r="Q8" s="332">
        <f>'C7Q'!G6</f>
        <v>761659398</v>
      </c>
    </row>
    <row r="9" spans="1:17" ht="12.75" customHeight="1" x14ac:dyDescent="0.25">
      <c r="A9" s="30" t="s">
        <v>1284</v>
      </c>
      <c r="B9" s="354"/>
      <c r="C9" s="415">
        <f>IF(Calc!$B$8&lt;=Calc!$D$1,'SC9 Q'!AL9,'SC9 Q'!B9)</f>
        <v>10607196.539999999</v>
      </c>
      <c r="D9" s="415">
        <f>IF(Calc!$B$9&lt;=Calc!$D$1,'SC9 Q'!AM9,'SC9 Q'!C9)</f>
        <v>10450898.49</v>
      </c>
      <c r="E9" s="415">
        <f>IF(Calc!$B$10&lt;=Calc!$D$1,'SC9 Q'!AN9,'SC9 Q'!D9)</f>
        <v>10086936.02</v>
      </c>
      <c r="F9" s="415">
        <f>IF(Calc!$B$11&lt;=Calc!$D$1,'SC9 Q'!AO9,'SC9 Q'!E9)</f>
        <v>10778020.640000001</v>
      </c>
      <c r="G9" s="415">
        <f>IF(Calc!$B$12&lt;=Calc!$D$1,'SC9 Q'!AP9,'SC9 Q'!F9)</f>
        <v>10139683.49</v>
      </c>
      <c r="H9" s="415">
        <f>IF(Calc!$B$13&lt;=Calc!$D$1,'SC9 Q'!AQ9,'SC9 Q'!G9)</f>
        <v>11041251.82</v>
      </c>
      <c r="I9" s="415">
        <f>IF(Calc!$B$14&lt;=Calc!$D$1,'SC9 Q'!AR9,'SC9 Q'!H9)</f>
        <v>10406219.710000001</v>
      </c>
      <c r="J9" s="415">
        <f>IF(Calc!$B$15&lt;=Calc!$D$1,'SC9 Q'!AS9,'SC9 Q'!I9)</f>
        <v>10268020.93</v>
      </c>
      <c r="K9" s="415">
        <f>IF(Calc!$B$16&lt;=Calc!$D$1,'SC9 Q'!AT9,'SC9 Q'!J9)</f>
        <v>10855401.289999999</v>
      </c>
      <c r="L9" s="415">
        <f>IF(Calc!$B$17&lt;=Calc!$D$1,'SC9 Q'!AU9,'SC9 Q'!K9)</f>
        <v>9974232.7100000009</v>
      </c>
      <c r="M9" s="415">
        <f>IF(Calc!$B$18&lt;=Calc!$D$1,'SC9 Q'!AV9,'SC9 Q'!L9)</f>
        <v>11026493.25</v>
      </c>
      <c r="N9" s="763">
        <f t="shared" si="0"/>
        <v>28883293.129999965</v>
      </c>
      <c r="O9" s="366">
        <f>SUM('SC9 Q'!B9:M9)</f>
        <v>144517648.01999998</v>
      </c>
      <c r="P9" s="331">
        <f>'C7Q'!F7</f>
        <v>148549165.05000001</v>
      </c>
      <c r="Q9" s="332">
        <f>'C7Q'!G7</f>
        <v>155976735.59999999</v>
      </c>
    </row>
    <row r="10" spans="1:17" x14ac:dyDescent="0.25">
      <c r="A10" s="30" t="s">
        <v>1336</v>
      </c>
      <c r="B10" s="354"/>
      <c r="C10" s="415">
        <f>IF(Calc!$B$8&lt;=Calc!$D$1,'SC9 Q'!AL10,'SC9 Q'!B10)</f>
        <v>5478456.3799999999</v>
      </c>
      <c r="D10" s="415">
        <f>IF(Calc!$B$9&lt;=Calc!$D$1,'SC9 Q'!AM10,'SC9 Q'!C10)</f>
        <v>4117139.9</v>
      </c>
      <c r="E10" s="415">
        <f>IF(Calc!$B$10&lt;=Calc!$D$1,'SC9 Q'!AN10,'SC9 Q'!D10)</f>
        <v>3827036.96</v>
      </c>
      <c r="F10" s="415">
        <f>IF(Calc!$B$11&lt;=Calc!$D$1,'SC9 Q'!AO10,'SC9 Q'!E10)</f>
        <v>3579415.41</v>
      </c>
      <c r="G10" s="415">
        <f>IF(Calc!$B$12&lt;=Calc!$D$1,'SC9 Q'!AP10,'SC9 Q'!F10)</f>
        <v>3709678.67</v>
      </c>
      <c r="H10" s="415">
        <f>IF(Calc!$B$13&lt;=Calc!$D$1,'SC9 Q'!AQ10,'SC9 Q'!G10)</f>
        <v>4153187.61</v>
      </c>
      <c r="I10" s="415">
        <f>IF(Calc!$B$14&lt;=Calc!$D$1,'SC9 Q'!AR10,'SC9 Q'!H10)</f>
        <v>3629048.08</v>
      </c>
      <c r="J10" s="415">
        <f>IF(Calc!$B$15&lt;=Calc!$D$1,'SC9 Q'!AS10,'SC9 Q'!I10)</f>
        <v>4050159.66</v>
      </c>
      <c r="K10" s="415">
        <f>IF(Calc!$B$16&lt;=Calc!$D$1,'SC9 Q'!AT10,'SC9 Q'!J10)</f>
        <v>3686474.92</v>
      </c>
      <c r="L10" s="415">
        <f>IF(Calc!$B$17&lt;=Calc!$D$1,'SC9 Q'!AU10,'SC9 Q'!K10)</f>
        <v>3146216.06</v>
      </c>
      <c r="M10" s="415">
        <f>IF(Calc!$B$18&lt;=Calc!$D$1,'SC9 Q'!AV10,'SC9 Q'!L10)</f>
        <v>10514329.25</v>
      </c>
      <c r="N10" s="763">
        <f t="shared" si="0"/>
        <v>81647932.860000014</v>
      </c>
      <c r="O10" s="366">
        <f>SUM('SC9 Q'!B10:M10)</f>
        <v>131539075.76000002</v>
      </c>
      <c r="P10" s="331">
        <f>'C7Q'!F8</f>
        <v>135208435.94999999</v>
      </c>
      <c r="Q10" s="332">
        <f>'C7Q'!G8</f>
        <v>141968745.44999999</v>
      </c>
    </row>
    <row r="11" spans="1:17" ht="5.45" customHeight="1" x14ac:dyDescent="0.25">
      <c r="A11" s="30"/>
      <c r="B11" s="354"/>
      <c r="C11" s="415"/>
      <c r="D11" s="415"/>
      <c r="E11" s="415"/>
      <c r="F11" s="415"/>
      <c r="G11" s="415"/>
      <c r="H11" s="415"/>
      <c r="I11" s="415"/>
      <c r="J11" s="415"/>
      <c r="K11" s="415"/>
      <c r="L11" s="415"/>
      <c r="M11" s="415"/>
      <c r="N11" s="763"/>
      <c r="O11" s="366"/>
      <c r="P11" s="331"/>
      <c r="Q11" s="332"/>
    </row>
    <row r="12" spans="1:17" x14ac:dyDescent="0.25">
      <c r="A12" s="30" t="s">
        <v>888</v>
      </c>
      <c r="B12" s="354"/>
      <c r="C12" s="415">
        <f>IF(Calc!$B$8&lt;=Calc!$D$1,'SC9 Q'!AL11,'SC9 Q'!B11)</f>
        <v>829980.51</v>
      </c>
      <c r="D12" s="415">
        <f>IF(Calc!$B$9&lt;=Calc!$D$1,'SC9 Q'!AM11,'SC9 Q'!C11)</f>
        <v>1858395.8</v>
      </c>
      <c r="E12" s="415">
        <f>IF(Calc!$B$10&lt;=Calc!$D$1,'SC9 Q'!AN11,'SC9 Q'!D11)</f>
        <v>3798238.86</v>
      </c>
      <c r="F12" s="415">
        <f>IF(Calc!$B$11&lt;=Calc!$D$1,'SC9 Q'!AO11,'SC9 Q'!E11)</f>
        <v>6668165.2699999996</v>
      </c>
      <c r="G12" s="415">
        <f>IF(Calc!$B$12&lt;=Calc!$D$1,'SC9 Q'!AP11,'SC9 Q'!F11)</f>
        <v>793447.42</v>
      </c>
      <c r="H12" s="415">
        <f>IF(Calc!$B$13&lt;=Calc!$D$1,'SC9 Q'!AQ11,'SC9 Q'!G11)</f>
        <v>477925.49</v>
      </c>
      <c r="I12" s="415">
        <f>IF(Calc!$B$14&lt;=Calc!$D$1,'SC9 Q'!AR11,'SC9 Q'!H11)</f>
        <v>13778342.289999999</v>
      </c>
      <c r="J12" s="415">
        <f>IF(Calc!$B$15&lt;=Calc!$D$1,'SC9 Q'!AS11,'SC9 Q'!I11)</f>
        <v>1035722.49</v>
      </c>
      <c r="K12" s="415">
        <f>IF(Calc!$B$16&lt;=Calc!$D$1,'SC9 Q'!AT11,'SC9 Q'!J11)</f>
        <v>670555.91</v>
      </c>
      <c r="L12" s="415">
        <f>IF(Calc!$B$17&lt;=Calc!$D$1,'SC9 Q'!AU11,'SC9 Q'!K11)</f>
        <v>724370.5</v>
      </c>
      <c r="M12" s="415">
        <f>IF(Calc!$B$18&lt;=Calc!$D$1,'SC9 Q'!AV11,'SC9 Q'!L11)</f>
        <v>1623944.03</v>
      </c>
      <c r="N12" s="763">
        <f t="shared" si="0"/>
        <v>-13273296.289999999</v>
      </c>
      <c r="O12" s="366">
        <f>SUM('SC9 Q'!B11:M11)</f>
        <v>18985792.280000001</v>
      </c>
      <c r="P12" s="331">
        <f>'C7Q'!F9</f>
        <v>26104025.399999999</v>
      </c>
      <c r="Q12" s="332">
        <f>'C7Q'!G9</f>
        <v>27409358.199999999</v>
      </c>
    </row>
    <row r="13" spans="1:17" ht="13.5" customHeight="1" x14ac:dyDescent="0.25">
      <c r="A13" s="30" t="s">
        <v>1350</v>
      </c>
      <c r="B13" s="354"/>
      <c r="C13" s="415">
        <f>IF(Calc!$B$8&lt;=Calc!$D$1,'SC9 Q'!AL12,'SC9 Q'!B12)</f>
        <v>2478271.64</v>
      </c>
      <c r="D13" s="415">
        <f>IF(Calc!$B$9&lt;=Calc!$D$1,'SC9 Q'!AM12,'SC9 Q'!C12)</f>
        <v>1606493.38</v>
      </c>
      <c r="E13" s="415">
        <f>IF(Calc!$B$10&lt;=Calc!$D$1,'SC9 Q'!AN12,'SC9 Q'!D12)</f>
        <v>705249.82</v>
      </c>
      <c r="F13" s="415">
        <f>IF(Calc!$B$11&lt;=Calc!$D$1,'SC9 Q'!AO12,'SC9 Q'!E12)</f>
        <v>6247314.8899999997</v>
      </c>
      <c r="G13" s="415">
        <f>IF(Calc!$B$12&lt;=Calc!$D$1,'SC9 Q'!AP12,'SC9 Q'!F12)</f>
        <v>1372190.06</v>
      </c>
      <c r="H13" s="415">
        <f>IF(Calc!$B$13&lt;=Calc!$D$1,'SC9 Q'!AQ12,'SC9 Q'!G12)</f>
        <v>1399618.7</v>
      </c>
      <c r="I13" s="415">
        <f>IF(Calc!$B$14&lt;=Calc!$D$1,'SC9 Q'!AR12,'SC9 Q'!H12)</f>
        <v>1404355.77</v>
      </c>
      <c r="J13" s="415">
        <f>IF(Calc!$B$15&lt;=Calc!$D$1,'SC9 Q'!AS12,'SC9 Q'!I12)</f>
        <v>319100.12</v>
      </c>
      <c r="K13" s="415">
        <f>IF(Calc!$B$16&lt;=Calc!$D$1,'SC9 Q'!AT12,'SC9 Q'!J12)</f>
        <v>1395165.46</v>
      </c>
      <c r="L13" s="415">
        <f>IF(Calc!$B$17&lt;=Calc!$D$1,'SC9 Q'!AU12,'SC9 Q'!K12)</f>
        <v>3102439.02</v>
      </c>
      <c r="M13" s="415">
        <f>IF(Calc!$B$18&lt;=Calc!$D$1,'SC9 Q'!AV12,'SC9 Q'!L12)</f>
        <v>3750000</v>
      </c>
      <c r="N13" s="763">
        <f t="shared" si="0"/>
        <v>21219801.140000001</v>
      </c>
      <c r="O13" s="366">
        <f>SUM('SC9 Q'!B12:M12)</f>
        <v>45000000</v>
      </c>
      <c r="P13" s="331">
        <f>'C7Q'!F10</f>
        <v>50000000</v>
      </c>
      <c r="Q13" s="332">
        <f>'C7Q'!G10</f>
        <v>55000000</v>
      </c>
    </row>
    <row r="14" spans="1:17" ht="13.5" customHeight="1" x14ac:dyDescent="0.25">
      <c r="A14" s="30" t="s">
        <v>1351</v>
      </c>
      <c r="B14" s="354"/>
      <c r="C14" s="415">
        <f>IF(Calc!$B$8&lt;=Calc!$D$1,'SC9 Q'!AL13,'SC9 Q'!B13)</f>
        <v>128297.48</v>
      </c>
      <c r="D14" s="415">
        <f>IF(Calc!$B$9&lt;=Calc!$D$1,'SC9 Q'!AM13,'SC9 Q'!C13)</f>
        <v>92231</v>
      </c>
      <c r="E14" s="415">
        <f>IF(Calc!$B$10&lt;=Calc!$D$1,'SC9 Q'!AN13,'SC9 Q'!D13)</f>
        <v>48402.19</v>
      </c>
      <c r="F14" s="415">
        <f>IF(Calc!$B$11&lt;=Calc!$D$1,'SC9 Q'!AO13,'SC9 Q'!E13)</f>
        <v>85382.07</v>
      </c>
      <c r="G14" s="415">
        <f>IF(Calc!$B$12&lt;=Calc!$D$1,'SC9 Q'!AP13,'SC9 Q'!F13)</f>
        <v>91247.039999999994</v>
      </c>
      <c r="H14" s="415">
        <f>IF(Calc!$B$13&lt;=Calc!$D$1,'SC9 Q'!AQ13,'SC9 Q'!G13)</f>
        <v>140397.31</v>
      </c>
      <c r="I14" s="415">
        <f>IF(Calc!$B$14&lt;=Calc!$D$1,'SC9 Q'!AR13,'SC9 Q'!H13)</f>
        <v>101855.32</v>
      </c>
      <c r="J14" s="415">
        <f>IF(Calc!$B$15&lt;=Calc!$D$1,'SC9 Q'!AS13,'SC9 Q'!I13)</f>
        <v>78234.880000000005</v>
      </c>
      <c r="K14" s="415">
        <f>IF(Calc!$B$16&lt;=Calc!$D$1,'SC9 Q'!AT13,'SC9 Q'!J13)</f>
        <v>81630.8</v>
      </c>
      <c r="L14" s="415">
        <f>IF(Calc!$B$17&lt;=Calc!$D$1,'SC9 Q'!AU13,'SC9 Q'!K13)</f>
        <v>68838.86</v>
      </c>
      <c r="M14" s="415">
        <f>IF(Calc!$B$18&lt;=Calc!$D$1,'SC9 Q'!AV13,'SC9 Q'!L13)</f>
        <v>0</v>
      </c>
      <c r="N14" s="763">
        <f t="shared" si="0"/>
        <v>-890056.95</v>
      </c>
      <c r="O14" s="366">
        <f>SUM('SC9 Q'!B13:M13)</f>
        <v>26460</v>
      </c>
      <c r="P14" s="331">
        <f>'C7Q'!F11</f>
        <v>28737</v>
      </c>
      <c r="Q14" s="332">
        <f>'C7Q'!G11</f>
        <v>30132</v>
      </c>
    </row>
    <row r="15" spans="1:17" ht="12.75" customHeight="1" x14ac:dyDescent="0.25">
      <c r="A15" s="30" t="s">
        <v>1352</v>
      </c>
      <c r="B15" s="354"/>
      <c r="C15" s="415">
        <f>IF(Calc!$B$8&lt;=Calc!$D$1,'SC9 Q'!AL14,'SC9 Q'!B14)</f>
        <v>0</v>
      </c>
      <c r="D15" s="415">
        <f>IF(Calc!$B$9&lt;=Calc!$D$1,'SC9 Q'!AM14,'SC9 Q'!C14)</f>
        <v>0</v>
      </c>
      <c r="E15" s="415">
        <f>IF(Calc!$B$10&lt;=Calc!$D$1,'SC9 Q'!AN14,'SC9 Q'!D14)</f>
        <v>0</v>
      </c>
      <c r="F15" s="415">
        <f>IF(Calc!$B$11&lt;=Calc!$D$1,'SC9 Q'!AO14,'SC9 Q'!E14)</f>
        <v>0</v>
      </c>
      <c r="G15" s="415">
        <f>IF(Calc!$B$12&lt;=Calc!$D$1,'SC9 Q'!AP14,'SC9 Q'!F14)</f>
        <v>0</v>
      </c>
      <c r="H15" s="415">
        <f>IF(Calc!$B$13&lt;=Calc!$D$1,'SC9 Q'!AQ14,'SC9 Q'!G14)</f>
        <v>0</v>
      </c>
      <c r="I15" s="415">
        <f>IF(Calc!$B$14&lt;=Calc!$D$1,'SC9 Q'!AR14,'SC9 Q'!H14)</f>
        <v>0</v>
      </c>
      <c r="J15" s="415">
        <f>IF(Calc!$B$15&lt;=Calc!$D$1,'SC9 Q'!AS14,'SC9 Q'!I14)</f>
        <v>0</v>
      </c>
      <c r="K15" s="415">
        <f>IF(Calc!$B$16&lt;=Calc!$D$1,'SC9 Q'!AT14,'SC9 Q'!J14)</f>
        <v>0</v>
      </c>
      <c r="L15" s="415">
        <f>IF(Calc!$B$17&lt;=Calc!$D$1,'SC9 Q'!AU14,'SC9 Q'!K14)</f>
        <v>0</v>
      </c>
      <c r="M15" s="415">
        <f>IF(Calc!$B$18&lt;=Calc!$D$1,'SC9 Q'!AV14,'SC9 Q'!L14)</f>
        <v>0</v>
      </c>
      <c r="N15" s="763">
        <f t="shared" si="0"/>
        <v>0</v>
      </c>
      <c r="O15" s="366">
        <f>SUM('SC9 Q'!B14:M14)</f>
        <v>0</v>
      </c>
      <c r="P15" s="331">
        <f>'C7Q'!F12</f>
        <v>0</v>
      </c>
      <c r="Q15" s="332">
        <f>'C7Q'!G12</f>
        <v>0</v>
      </c>
    </row>
    <row r="16" spans="1:17" ht="12.75" customHeight="1" x14ac:dyDescent="0.25">
      <c r="A16" s="30" t="s">
        <v>1023</v>
      </c>
      <c r="B16" s="354"/>
      <c r="C16" s="415">
        <f>IF(Calc!$B$8&lt;=Calc!$D$1,'SC9 Q'!AL15,'SC9 Q'!B15)</f>
        <v>182095.79</v>
      </c>
      <c r="D16" s="415">
        <f>IF(Calc!$B$9&lt;=Calc!$D$1,'SC9 Q'!AM15,'SC9 Q'!C15)</f>
        <v>113130.25</v>
      </c>
      <c r="E16" s="415">
        <f>IF(Calc!$B$10&lt;=Calc!$D$1,'SC9 Q'!AN15,'SC9 Q'!D15)</f>
        <v>145613.71</v>
      </c>
      <c r="F16" s="415">
        <f>IF(Calc!$B$11&lt;=Calc!$D$1,'SC9 Q'!AO15,'SC9 Q'!E15)</f>
        <v>160430.69</v>
      </c>
      <c r="G16" s="415">
        <f>IF(Calc!$B$12&lt;=Calc!$D$1,'SC9 Q'!AP15,'SC9 Q'!F15)</f>
        <v>262939.65000000002</v>
      </c>
      <c r="H16" s="415">
        <f>IF(Calc!$B$13&lt;=Calc!$D$1,'SC9 Q'!AQ15,'SC9 Q'!G15)</f>
        <v>343629.3</v>
      </c>
      <c r="I16" s="415">
        <f>IF(Calc!$B$14&lt;=Calc!$D$1,'SC9 Q'!AR15,'SC9 Q'!H15)</f>
        <v>166367.23000000001</v>
      </c>
      <c r="J16" s="415">
        <f>IF(Calc!$B$15&lt;=Calc!$D$1,'SC9 Q'!AS15,'SC9 Q'!I15)</f>
        <v>154313.29</v>
      </c>
      <c r="K16" s="415">
        <f>IF(Calc!$B$16&lt;=Calc!$D$1,'SC9 Q'!AT15,'SC9 Q'!J15)</f>
        <v>136132.63</v>
      </c>
      <c r="L16" s="415">
        <f>IF(Calc!$B$17&lt;=Calc!$D$1,'SC9 Q'!AU15,'SC9 Q'!K15)</f>
        <v>220605.4</v>
      </c>
      <c r="M16" s="415">
        <f>IF(Calc!$B$18&lt;=Calc!$D$1,'SC9 Q'!AV15,'SC9 Q'!L15)</f>
        <v>58586.5</v>
      </c>
      <c r="N16" s="763">
        <f t="shared" si="0"/>
        <v>-1146129.46</v>
      </c>
      <c r="O16" s="366">
        <f>SUM('SC9 Q'!B15:M15)</f>
        <v>797714.98</v>
      </c>
      <c r="P16" s="331">
        <f>'C7Q'!F13</f>
        <v>1842525</v>
      </c>
      <c r="Q16" s="332">
        <f>'C7Q'!G13</f>
        <v>1842525</v>
      </c>
    </row>
    <row r="17" spans="1:18" ht="12.75" customHeight="1" x14ac:dyDescent="0.25">
      <c r="A17" s="30" t="s">
        <v>1353</v>
      </c>
      <c r="B17" s="354"/>
      <c r="C17" s="415">
        <f>IF(Calc!$B$8&lt;=Calc!$D$1,'SC9 Q'!AL16,'SC9 Q'!B16)</f>
        <v>0</v>
      </c>
      <c r="D17" s="415">
        <f>IF(Calc!$B$9&lt;=Calc!$D$1,'SC9 Q'!AM16,'SC9 Q'!C16)</f>
        <v>0</v>
      </c>
      <c r="E17" s="415">
        <f>IF(Calc!$B$10&lt;=Calc!$D$1,'SC9 Q'!AN16,'SC9 Q'!D16)</f>
        <v>0</v>
      </c>
      <c r="F17" s="415">
        <f>IF(Calc!$B$11&lt;=Calc!$D$1,'SC9 Q'!AO16,'SC9 Q'!E16)</f>
        <v>0</v>
      </c>
      <c r="G17" s="415">
        <f>IF(Calc!$B$12&lt;=Calc!$D$1,'SC9 Q'!AP16,'SC9 Q'!F16)</f>
        <v>0</v>
      </c>
      <c r="H17" s="415">
        <f>IF(Calc!$B$13&lt;=Calc!$D$1,'SC9 Q'!AQ16,'SC9 Q'!G16)</f>
        <v>0</v>
      </c>
      <c r="I17" s="415">
        <f>IF(Calc!$B$14&lt;=Calc!$D$1,'SC9 Q'!AR16,'SC9 Q'!H16)</f>
        <v>0</v>
      </c>
      <c r="J17" s="415">
        <f>IF(Calc!$B$15&lt;=Calc!$D$1,'SC9 Q'!AS16,'SC9 Q'!I16)</f>
        <v>0</v>
      </c>
      <c r="K17" s="415">
        <f>IF(Calc!$B$16&lt;=Calc!$D$1,'SC9 Q'!AT16,'SC9 Q'!J16)</f>
        <v>0</v>
      </c>
      <c r="L17" s="415">
        <f>IF(Calc!$B$17&lt;=Calc!$D$1,'SC9 Q'!AU16,'SC9 Q'!K16)</f>
        <v>0</v>
      </c>
      <c r="M17" s="415">
        <f>IF(Calc!$B$18&lt;=Calc!$D$1,'SC9 Q'!AV16,'SC9 Q'!L16)</f>
        <v>0</v>
      </c>
      <c r="N17" s="763">
        <f t="shared" si="0"/>
        <v>0</v>
      </c>
      <c r="O17" s="366">
        <f>SUM('SC9 Q'!B16:M16)</f>
        <v>0</v>
      </c>
      <c r="P17" s="331">
        <f>'C7Q'!F14</f>
        <v>0</v>
      </c>
      <c r="Q17" s="332">
        <f>'C7Q'!G14</f>
        <v>0</v>
      </c>
    </row>
    <row r="18" spans="1:18" ht="12.75" customHeight="1" x14ac:dyDescent="0.25">
      <c r="A18" s="30" t="s">
        <v>533</v>
      </c>
      <c r="B18" s="354"/>
      <c r="C18" s="415">
        <f>IF(Calc!$B$8&lt;=Calc!$D$1,'SC9 Q'!AL17,'SC9 Q'!B17)</f>
        <v>677221.9</v>
      </c>
      <c r="D18" s="415">
        <f>IF(Calc!$B$9&lt;=Calc!$D$1,'SC9 Q'!AM17,'SC9 Q'!C17)</f>
        <v>975780.13</v>
      </c>
      <c r="E18" s="415">
        <f>IF(Calc!$B$10&lt;=Calc!$D$1,'SC9 Q'!AN17,'SC9 Q'!D17)</f>
        <v>1069950.05</v>
      </c>
      <c r="F18" s="415">
        <f>IF(Calc!$B$11&lt;=Calc!$D$1,'SC9 Q'!AO17,'SC9 Q'!E17)</f>
        <v>0</v>
      </c>
      <c r="G18" s="415">
        <f>IF(Calc!$B$12&lt;=Calc!$D$1,'SC9 Q'!AP17,'SC9 Q'!F17)</f>
        <v>1076948.01</v>
      </c>
      <c r="H18" s="415">
        <f>IF(Calc!$B$13&lt;=Calc!$D$1,'SC9 Q'!AQ17,'SC9 Q'!G17)</f>
        <v>0</v>
      </c>
      <c r="I18" s="415">
        <f>IF(Calc!$B$14&lt;=Calc!$D$1,'SC9 Q'!AR17,'SC9 Q'!H17)</f>
        <v>1091991.46</v>
      </c>
      <c r="J18" s="415">
        <f>IF(Calc!$B$15&lt;=Calc!$D$1,'SC9 Q'!AS17,'SC9 Q'!I17)</f>
        <v>1157325.1399999999</v>
      </c>
      <c r="K18" s="415">
        <f>IF(Calc!$B$16&lt;=Calc!$D$1,'SC9 Q'!AT17,'SC9 Q'!J17)</f>
        <v>0</v>
      </c>
      <c r="L18" s="415">
        <f>IF(Calc!$B$17&lt;=Calc!$D$1,'SC9 Q'!AU17,'SC9 Q'!K17)</f>
        <v>1920042.11</v>
      </c>
      <c r="M18" s="415">
        <f>IF(Calc!$B$18&lt;=Calc!$D$1,'SC9 Q'!AV17,'SC9 Q'!L17)</f>
        <v>1241064</v>
      </c>
      <c r="N18" s="763">
        <f t="shared" si="0"/>
        <v>4040897.1999999993</v>
      </c>
      <c r="O18" s="366">
        <f>SUM('SC9 Q'!B17:M17)</f>
        <v>13251220</v>
      </c>
      <c r="P18" s="331">
        <f>'C7Q'!F15</f>
        <v>13432820</v>
      </c>
      <c r="Q18" s="332">
        <f>'C7Q'!G15</f>
        <v>13623420</v>
      </c>
    </row>
    <row r="19" spans="1:18" ht="12.75" customHeight="1" x14ac:dyDescent="0.25">
      <c r="A19" s="30" t="s">
        <v>1270</v>
      </c>
      <c r="B19" s="354"/>
      <c r="C19" s="415">
        <f>IF(Calc!$B$8&lt;=Calc!$D$1,'SC9 Q'!AL18,'SC9 Q'!B18)</f>
        <v>231771000</v>
      </c>
      <c r="D19" s="415">
        <f>IF(Calc!$B$9&lt;=Calc!$D$1,'SC9 Q'!AM18,'SC9 Q'!C18)</f>
        <v>3300213.04</v>
      </c>
      <c r="E19" s="415">
        <f>IF(Calc!$B$10&lt;=Calc!$D$1,'SC9 Q'!AN18,'SC9 Q'!D18)</f>
        <v>296362.34000000003</v>
      </c>
      <c r="F19" s="415">
        <f>IF(Calc!$B$11&lt;=Calc!$D$1,'SC9 Q'!AO18,'SC9 Q'!E18)</f>
        <v>12886000</v>
      </c>
      <c r="G19" s="415">
        <f>IF(Calc!$B$12&lt;=Calc!$D$1,'SC9 Q'!AP18,'SC9 Q'!F18)</f>
        <v>1203000</v>
      </c>
      <c r="H19" s="415">
        <f>IF(Calc!$B$13&lt;=Calc!$D$1,'SC9 Q'!AQ18,'SC9 Q'!G18)</f>
        <v>185920656.36000001</v>
      </c>
      <c r="I19" s="331">
        <f>IF(Calc!$B$14&lt;=Calc!$D$1,'SC9 Q'!AR18,'SC9 Q'!H18)</f>
        <v>0</v>
      </c>
      <c r="J19" s="331">
        <f>IF(Calc!$B$15&lt;=Calc!$D$1,'SC9 Q'!AS18,'SC9 Q'!I18)</f>
        <v>311327.73</v>
      </c>
      <c r="K19" s="331">
        <f>IF(Calc!$B$16&lt;=Calc!$D$1,'SC9 Q'!AT18,'SC9 Q'!J18)</f>
        <v>140614336.50999999</v>
      </c>
      <c r="L19" s="415">
        <f>IF(Calc!$B$17&lt;=Calc!$D$1,'SC9 Q'!AU18,'SC9 Q'!K18)</f>
        <v>261390.68</v>
      </c>
      <c r="M19" s="415">
        <f>IF(Calc!$B$18&lt;=Calc!$D$1,'SC9 Q'!AV18,'SC9 Q'!L18)</f>
        <v>368177</v>
      </c>
      <c r="N19" s="763">
        <f t="shared" si="0"/>
        <v>15764736.340000033</v>
      </c>
      <c r="O19" s="366">
        <f>SUM('SC9 Q'!B18:M18)</f>
        <v>592697200</v>
      </c>
      <c r="P19" s="331">
        <f>'C7Q'!F16</f>
        <v>613554600</v>
      </c>
      <c r="Q19" s="332">
        <f>'C7Q'!G16</f>
        <v>644094000</v>
      </c>
    </row>
    <row r="20" spans="1:18" ht="12.75" customHeight="1" x14ac:dyDescent="0.25">
      <c r="A20" s="30" t="s">
        <v>413</v>
      </c>
      <c r="B20" s="354"/>
      <c r="C20" s="366">
        <f>IF(Calc!$B$8&lt;=Calc!$D$1,'SC9 Q'!AL19,'SC9 Q'!B19)</f>
        <v>118828833.22</v>
      </c>
      <c r="D20" s="331">
        <f>IF(Calc!$B$9&lt;=Calc!$D$1,'SC9 Q'!AM19,'SC9 Q'!C19)</f>
        <v>55185643.189999998</v>
      </c>
      <c r="E20" s="331">
        <f>IF(Calc!$B$10&lt;=Calc!$D$1,'SC9 Q'!AN19,'SC9 Q'!D19)</f>
        <v>91624123.180000007</v>
      </c>
      <c r="F20" s="331">
        <f>IF(Calc!$B$11&lt;=Calc!$D$1,'SC9 Q'!AO19,'SC9 Q'!E19)</f>
        <v>92087726.859999999</v>
      </c>
      <c r="G20" s="331">
        <f>IF(Calc!$B$12&lt;=Calc!$D$1,'SC9 Q'!AP19,'SC9 Q'!F19)</f>
        <v>91219890.950000003</v>
      </c>
      <c r="H20" s="331">
        <f>IF(Calc!$B$13&lt;=Calc!$D$1,'SC9 Q'!AQ19,'SC9 Q'!G19)</f>
        <v>-14423213.85</v>
      </c>
      <c r="I20" s="331">
        <f>IF(Calc!$B$14&lt;=Calc!$D$1,'SC9 Q'!AR19,'SC9 Q'!H19)</f>
        <v>52723951.5</v>
      </c>
      <c r="J20" s="331">
        <f>IF(Calc!$B$15&lt;=Calc!$D$1,'SC9 Q'!AS19,'SC9 Q'!I19)</f>
        <v>53190168.299999997</v>
      </c>
      <c r="K20" s="331">
        <f>IF(Calc!$B$16&lt;=Calc!$D$1,'SC9 Q'!AT19,'SC9 Q'!J19)</f>
        <v>40880418.390000001</v>
      </c>
      <c r="L20" s="331">
        <f>IF(Calc!$B$17&lt;=Calc!$D$1,'SC9 Q'!AU19,'SC9 Q'!K19)</f>
        <v>66019245.340000004</v>
      </c>
      <c r="M20" s="415">
        <f>IF(Calc!$B$18&lt;=Calc!$D$1,'SC9 Q'!AV19,'SC9 Q'!L19)</f>
        <v>1890117.55</v>
      </c>
      <c r="N20" s="763">
        <f t="shared" si="0"/>
        <v>-611671665.36999989</v>
      </c>
      <c r="O20" s="366">
        <f>SUM('SC9 Q'!B19:M19)</f>
        <v>37555239.259999998</v>
      </c>
      <c r="P20" s="331">
        <f>'C7Q'!F17</f>
        <v>30620426.699999999</v>
      </c>
      <c r="Q20" s="332">
        <f>'C7Q'!G17</f>
        <v>31328435.699999999</v>
      </c>
      <c r="R20" s="33"/>
    </row>
    <row r="21" spans="1:18" ht="12.75" customHeight="1" x14ac:dyDescent="0.25">
      <c r="A21" s="59" t="s">
        <v>858</v>
      </c>
      <c r="B21" s="370"/>
      <c r="C21" s="207">
        <f>SUM(C6:C20)</f>
        <v>633630459.24000001</v>
      </c>
      <c r="D21" s="200">
        <f t="shared" ref="D21:N21" si="1">SUM(D6:D20)</f>
        <v>423332032.81999999</v>
      </c>
      <c r="E21" s="200">
        <f t="shared" si="1"/>
        <v>444218963.3599999</v>
      </c>
      <c r="F21" s="200">
        <f t="shared" si="1"/>
        <v>453698515.12</v>
      </c>
      <c r="G21" s="200">
        <f t="shared" si="1"/>
        <v>349183425.08999997</v>
      </c>
      <c r="H21" s="200">
        <f t="shared" si="1"/>
        <v>496864774.94</v>
      </c>
      <c r="I21" s="200">
        <f t="shared" si="1"/>
        <v>358376205.60999995</v>
      </c>
      <c r="J21" s="200">
        <f t="shared" si="1"/>
        <v>349902297.00000006</v>
      </c>
      <c r="K21" s="200">
        <f t="shared" si="1"/>
        <v>474301743.56</v>
      </c>
      <c r="L21" s="200">
        <f t="shared" si="1"/>
        <v>364973579.78999996</v>
      </c>
      <c r="M21" s="218">
        <f t="shared" si="1"/>
        <v>395600835.63</v>
      </c>
      <c r="N21" s="207">
        <f t="shared" si="1"/>
        <v>168833135.9000001</v>
      </c>
      <c r="O21" s="207">
        <f>SUM(O6:O20)</f>
        <v>4912915968.0600014</v>
      </c>
      <c r="P21" s="200">
        <f t="shared" ref="P21:Q21" si="2">SUM(P6:P20)</f>
        <v>5495288144.8000002</v>
      </c>
      <c r="Q21" s="211">
        <f t="shared" si="2"/>
        <v>5887878976.0999994</v>
      </c>
    </row>
    <row r="22" spans="1:18" ht="12.75" customHeight="1" x14ac:dyDescent="0.25">
      <c r="A22" s="31" t="s">
        <v>671</v>
      </c>
      <c r="B22" s="354"/>
      <c r="C22" s="36"/>
      <c r="D22" s="34"/>
      <c r="E22" s="34"/>
      <c r="F22" s="34"/>
      <c r="G22" s="34"/>
      <c r="H22" s="34"/>
      <c r="I22" s="34"/>
      <c r="J22" s="34"/>
      <c r="K22" s="34"/>
      <c r="L22" s="34"/>
      <c r="M22" s="148"/>
      <c r="N22" s="68">
        <f t="shared" ref="N22" si="3">O22-SUM(C22:M22)</f>
        <v>0</v>
      </c>
      <c r="O22" s="36"/>
      <c r="P22" s="34"/>
      <c r="Q22" s="35"/>
    </row>
    <row r="23" spans="1:18" s="288" customFormat="1" ht="25.5" x14ac:dyDescent="0.25">
      <c r="A23" s="442" t="s">
        <v>1354</v>
      </c>
      <c r="B23" s="589"/>
      <c r="C23" s="415">
        <f>IF(Calc!$B$8&lt;=Calc!$D$1,'SC9 Q'!AL22,'SC9 Q'!B22)</f>
        <v>100289000</v>
      </c>
      <c r="D23" s="415">
        <f>IF(Calc!$B$9&lt;=Calc!$D$1,'SC9 Q'!AM22,'SC9 Q'!C22)</f>
        <v>1500000</v>
      </c>
      <c r="E23" s="331">
        <f>IF(Calc!$B$10&lt;=Calc!$D$1,'SC9 Q'!AN22,'SC9 Q'!D22)</f>
        <v>0</v>
      </c>
      <c r="F23" s="331">
        <f>IF(Calc!$B$11&lt;=Calc!$D$1,'SC9 Q'!AO22,'SC9 Q'!E22)</f>
        <v>0</v>
      </c>
      <c r="G23" s="415">
        <f>IF(Calc!$B$12&lt;=Calc!$D$1,'SC9 Q'!AP22,'SC9 Q'!F22)</f>
        <v>18000000</v>
      </c>
      <c r="H23" s="331">
        <f>IF(Calc!$B$13&lt;=Calc!$D$1,'SC9 Q'!AQ22,'SC9 Q'!G22)</f>
        <v>47449000</v>
      </c>
      <c r="I23" s="331">
        <f>IF(Calc!$B$14&lt;=Calc!$D$1,'SC9 Q'!AR22,'SC9 Q'!H22)</f>
        <v>2000000</v>
      </c>
      <c r="J23" s="331">
        <f>IF(Calc!$B$15&lt;=Calc!$D$1,'SC9 Q'!AS22,'SC9 Q'!I22)</f>
        <v>0</v>
      </c>
      <c r="K23" s="331">
        <f>IF(Calc!$B$16&lt;=Calc!$D$1,'SC9 Q'!AT22,'SC9 Q'!J22)</f>
        <v>35210000</v>
      </c>
      <c r="L23" s="415">
        <f>IF(Calc!$B$17&lt;=Calc!$D$1,'SC9 Q'!AU22,'SC9 Q'!K22)</f>
        <v>0</v>
      </c>
      <c r="M23" s="415">
        <f>IF(Calc!$B$18&lt;=Calc!$D$1,'SC9 Q'!AV22,'SC9 Q'!L22)</f>
        <v>18412823</v>
      </c>
      <c r="N23" s="763">
        <f t="shared" ref="N23:N31" si="4">O23-SUM(C23:M23)</f>
        <v>4147277</v>
      </c>
      <c r="O23" s="366">
        <f>SUM('SC9 Q'!B22:M22)</f>
        <v>227008100</v>
      </c>
      <c r="P23" s="331">
        <f>'C7Q'!F20</f>
        <v>202524400</v>
      </c>
      <c r="Q23" s="332">
        <f>'C7Q'!G20</f>
        <v>227573000</v>
      </c>
    </row>
    <row r="24" spans="1:18" s="288" customFormat="1" ht="36.6" customHeight="1" x14ac:dyDescent="0.25">
      <c r="A24" s="442" t="s">
        <v>1355</v>
      </c>
      <c r="B24" s="589"/>
      <c r="C24" s="415">
        <f>IF(Calc!$B$8&lt;=Calc!$D$1,'SC9 Q'!AL23,'SC9 Q'!B23)</f>
        <v>0</v>
      </c>
      <c r="D24" s="415">
        <f>IF(Calc!$B$9&lt;=Calc!$D$1,'SC9 Q'!AM23,'SC9 Q'!C23)</f>
        <v>0</v>
      </c>
      <c r="E24" s="415">
        <f>IF(Calc!$B$10&lt;=Calc!$D$1,'SC9 Q'!AN23,'SC9 Q'!D23)</f>
        <v>0</v>
      </c>
      <c r="F24" s="415">
        <f>IF(Calc!$B$11&lt;=Calc!$D$1,'SC9 Q'!AO23,'SC9 Q'!E23)</f>
        <v>0</v>
      </c>
      <c r="G24" s="415">
        <f>IF(Calc!$B$12&lt;=Calc!$D$1,'SC9 Q'!AP23,'SC9 Q'!F23)</f>
        <v>0</v>
      </c>
      <c r="H24" s="415">
        <f>IF(Calc!$B$13&lt;=Calc!$D$1,'SC9 Q'!AQ23,'SC9 Q'!G23)</f>
        <v>0</v>
      </c>
      <c r="I24" s="415">
        <f>IF(Calc!$B$14&lt;=Calc!$D$1,'SC9 Q'!AR23,'SC9 Q'!H23)</f>
        <v>0</v>
      </c>
      <c r="J24" s="331">
        <f>IF(Calc!$B$15&lt;=Calc!$D$1,'SC9 Q'!AS23,'SC9 Q'!I23)</f>
        <v>0</v>
      </c>
      <c r="K24" s="415">
        <f>IF(Calc!$B$16&lt;=Calc!$D$1,'SC9 Q'!AT23,'SC9 Q'!J23)</f>
        <v>0</v>
      </c>
      <c r="L24" s="415">
        <f>IF(Calc!$B$17&lt;=Calc!$D$1,'SC9 Q'!AU23,'SC9 Q'!K23)</f>
        <v>0</v>
      </c>
      <c r="M24" s="415">
        <f>IF(Calc!$B$18&lt;=Calc!$D$1,'SC9 Q'!AV23,'SC9 Q'!L23)</f>
        <v>0</v>
      </c>
      <c r="N24" s="763">
        <f t="shared" si="4"/>
        <v>0</v>
      </c>
      <c r="O24" s="366">
        <f>SUM('SC9 Q'!B23:M23)</f>
        <v>0</v>
      </c>
      <c r="P24" s="331">
        <f>'C7Q'!F21</f>
        <v>0</v>
      </c>
      <c r="Q24" s="332">
        <f>'C7Q'!G21</f>
        <v>0</v>
      </c>
    </row>
    <row r="25" spans="1:18" ht="12.75" customHeight="1" x14ac:dyDescent="0.25">
      <c r="A25" s="30" t="s">
        <v>1272</v>
      </c>
      <c r="B25" s="354"/>
      <c r="C25" s="415">
        <f>IF(Calc!$B$8&lt;=Calc!$D$1,'SC9 Q'!AL24,'SC9 Q'!B24)</f>
        <v>0</v>
      </c>
      <c r="D25" s="415">
        <f>IF(Calc!$B$9&lt;=Calc!$D$1,'SC9 Q'!AM24,'SC9 Q'!C24)</f>
        <v>0</v>
      </c>
      <c r="E25" s="415">
        <f>IF(Calc!$B$10&lt;=Calc!$D$1,'SC9 Q'!AN24,'SC9 Q'!D24)</f>
        <v>0</v>
      </c>
      <c r="F25" s="415">
        <f>IF(Calc!$B$11&lt;=Calc!$D$1,'SC9 Q'!AO24,'SC9 Q'!E24)</f>
        <v>0</v>
      </c>
      <c r="G25" s="415">
        <f>IF(Calc!$B$12&lt;=Calc!$D$1,'SC9 Q'!AP24,'SC9 Q'!F24)</f>
        <v>0</v>
      </c>
      <c r="H25" s="415">
        <f>IF(Calc!$B$13&lt;=Calc!$D$1,'SC9 Q'!AQ24,'SC9 Q'!G24)</f>
        <v>0</v>
      </c>
      <c r="I25" s="415">
        <f>IF(Calc!$B$14&lt;=Calc!$D$1,'SC9 Q'!AR24,'SC9 Q'!H24)</f>
        <v>0</v>
      </c>
      <c r="J25" s="415">
        <f>IF(Calc!$B$15&lt;=Calc!$D$1,'SC9 Q'!AS24,'SC9 Q'!I24)</f>
        <v>0</v>
      </c>
      <c r="K25" s="415">
        <f>IF(Calc!$B$16&lt;=Calc!$D$1,'SC9 Q'!AT24,'SC9 Q'!J24)</f>
        <v>0</v>
      </c>
      <c r="L25" s="415">
        <f>IF(Calc!$B$17&lt;=Calc!$D$1,'SC9 Q'!AU24,'SC9 Q'!K24)</f>
        <v>0</v>
      </c>
      <c r="M25" s="415">
        <f>IF(Calc!$B$18&lt;=Calc!$D$1,'SC9 Q'!AV24,'SC9 Q'!L24)</f>
        <v>0</v>
      </c>
      <c r="N25" s="763">
        <f t="shared" si="4"/>
        <v>0</v>
      </c>
      <c r="O25" s="366">
        <f>SUM('SC9 Q'!B24:M24)</f>
        <v>0</v>
      </c>
      <c r="P25" s="331">
        <f>'C7Q'!F22</f>
        <v>0</v>
      </c>
      <c r="Q25" s="332">
        <f>'C7Q'!G22</f>
        <v>0</v>
      </c>
    </row>
    <row r="26" spans="1:18" ht="12.75" customHeight="1" x14ac:dyDescent="0.25">
      <c r="A26" s="30" t="s">
        <v>831</v>
      </c>
      <c r="B26" s="354"/>
      <c r="C26" s="415">
        <f>IF(Calc!$B$8&lt;=Calc!$D$1,'SC9 Q'!AL25,'SC9 Q'!B25)</f>
        <v>0</v>
      </c>
      <c r="D26" s="415">
        <f>IF(Calc!$B$9&lt;=Calc!$D$1,'SC9 Q'!AM25,'SC9 Q'!C25)</f>
        <v>0</v>
      </c>
      <c r="E26" s="415">
        <f>IF(Calc!$B$10&lt;=Calc!$D$1,'SC9 Q'!AN25,'SC9 Q'!D25)</f>
        <v>0</v>
      </c>
      <c r="F26" s="415">
        <f>IF(Calc!$B$11&lt;=Calc!$D$1,'SC9 Q'!AO25,'SC9 Q'!E25)</f>
        <v>0</v>
      </c>
      <c r="G26" s="415">
        <f>IF(Calc!$B$12&lt;=Calc!$D$1,'SC9 Q'!AP25,'SC9 Q'!F25)</f>
        <v>0</v>
      </c>
      <c r="H26" s="415">
        <f>IF(Calc!$B$13&lt;=Calc!$D$1,'SC9 Q'!AQ25,'SC9 Q'!G25)</f>
        <v>0</v>
      </c>
      <c r="I26" s="415">
        <f>IF(Calc!$B$14&lt;=Calc!$D$1,'SC9 Q'!AR25,'SC9 Q'!H25)</f>
        <v>0</v>
      </c>
      <c r="J26" s="415">
        <f>IF(Calc!$B$15&lt;=Calc!$D$1,'SC9 Q'!AS25,'SC9 Q'!I25)</f>
        <v>0</v>
      </c>
      <c r="K26" s="415">
        <f>IF(Calc!$B$16&lt;=Calc!$D$1,'SC9 Q'!AT25,'SC9 Q'!J25)</f>
        <v>0</v>
      </c>
      <c r="L26" s="415">
        <f>IF(Calc!$B$17&lt;=Calc!$D$1,'SC9 Q'!AU25,'SC9 Q'!K25)</f>
        <v>0</v>
      </c>
      <c r="M26" s="415">
        <f>IF(Calc!$B$18&lt;=Calc!$D$1,'SC9 Q'!AV25,'SC9 Q'!L25)</f>
        <v>0</v>
      </c>
      <c r="N26" s="763">
        <f t="shared" si="4"/>
        <v>0</v>
      </c>
      <c r="O26" s="366">
        <f>SUM('SC9 Q'!B25:M25)</f>
        <v>0</v>
      </c>
      <c r="P26" s="331">
        <f>'C7Q'!F23</f>
        <v>0</v>
      </c>
      <c r="Q26" s="332">
        <f>'C7Q'!G23</f>
        <v>0</v>
      </c>
    </row>
    <row r="27" spans="1:18" ht="12.75" customHeight="1" x14ac:dyDescent="0.25">
      <c r="A27" s="30" t="s">
        <v>883</v>
      </c>
      <c r="B27" s="354"/>
      <c r="C27" s="415">
        <f>IF(Calc!$B$8&lt;=Calc!$D$1,'SC9 Q'!AL26,'SC9 Q'!B26)</f>
        <v>0</v>
      </c>
      <c r="D27" s="415">
        <f>IF(Calc!$B$9&lt;=Calc!$D$1,'SC9 Q'!AM26,'SC9 Q'!C26)</f>
        <v>0</v>
      </c>
      <c r="E27" s="415">
        <f>IF(Calc!$B$10&lt;=Calc!$D$1,'SC9 Q'!AN26,'SC9 Q'!D26)</f>
        <v>200000000</v>
      </c>
      <c r="F27" s="415">
        <f>IF(Calc!$B$11&lt;=Calc!$D$1,'SC9 Q'!AO26,'SC9 Q'!E26)</f>
        <v>0</v>
      </c>
      <c r="G27" s="415">
        <f>IF(Calc!$B$12&lt;=Calc!$D$1,'SC9 Q'!AP26,'SC9 Q'!F26)</f>
        <v>0</v>
      </c>
      <c r="H27" s="415">
        <f>IF(Calc!$B$13&lt;=Calc!$D$1,'SC9 Q'!AQ26,'SC9 Q'!G26)</f>
        <v>0</v>
      </c>
      <c r="I27" s="415">
        <f>IF(Calc!$B$14&lt;=Calc!$D$1,'SC9 Q'!AR26,'SC9 Q'!H26)</f>
        <v>180000000</v>
      </c>
      <c r="J27" s="415">
        <f>IF(Calc!$B$15&lt;=Calc!$D$1,'SC9 Q'!AS26,'SC9 Q'!I26)</f>
        <v>0</v>
      </c>
      <c r="K27" s="415">
        <f>IF(Calc!$B$16&lt;=Calc!$D$1,'SC9 Q'!AT26,'SC9 Q'!J26)</f>
        <v>0</v>
      </c>
      <c r="L27" s="415">
        <f>IF(Calc!$B$17&lt;=Calc!$D$1,'SC9 Q'!AU26,'SC9 Q'!K26)</f>
        <v>0</v>
      </c>
      <c r="M27" s="415">
        <f>IF(Calc!$B$18&lt;=Calc!$D$1,'SC9 Q'!AV26,'SC9 Q'!L26)</f>
        <v>0</v>
      </c>
      <c r="N27" s="763">
        <f t="shared" si="4"/>
        <v>0</v>
      </c>
      <c r="O27" s="366">
        <f>SUM('SC9 Q'!B26:M26)</f>
        <v>380000000</v>
      </c>
      <c r="P27" s="331">
        <f>'C7Q'!F24</f>
        <v>360000000</v>
      </c>
      <c r="Q27" s="332">
        <f>'C7Q'!G24</f>
        <v>325000000</v>
      </c>
    </row>
    <row r="28" spans="1:18" ht="12.75" customHeight="1" x14ac:dyDescent="0.25">
      <c r="A28" s="30" t="s">
        <v>54</v>
      </c>
      <c r="B28" s="354"/>
      <c r="C28" s="415">
        <f>IF(Calc!$B$8&lt;=Calc!$D$1,-'SC9 Q'!AL27,'SC9 Q'!B27)</f>
        <v>-407851.22</v>
      </c>
      <c r="D28" s="415">
        <f>IF(Calc!$B$9&lt;=Calc!$D$1,-'SC9 Q'!AM27,'SC9 Q'!C27)</f>
        <v>4832.91</v>
      </c>
      <c r="E28" s="415">
        <f>IF(Calc!$B$10&lt;=Calc!$D$1,-'SC9 Q'!AN27,'SC9 Q'!D27)</f>
        <v>-101809.43</v>
      </c>
      <c r="F28" s="415">
        <f>IF(Calc!$B$11&lt;=Calc!$D$1,-'SC9 Q'!AO27,'SC9 Q'!E27)</f>
        <v>-48294.2</v>
      </c>
      <c r="G28" s="415">
        <f>IF(Calc!$B$12&lt;=Calc!$D$1,-'SC9 Q'!AP27,'SC9 Q'!F27)</f>
        <v>-136736.81</v>
      </c>
      <c r="H28" s="415">
        <f>IF(Calc!$B$13&lt;=Calc!$D$1,-'SC9 Q'!AQ27,'SC9 Q'!G27)</f>
        <v>-30527.95</v>
      </c>
      <c r="I28" s="415">
        <f>IF(Calc!$B$14&lt;=Calc!$D$1,-'SC9 Q'!AR27,'SC9 Q'!H27)</f>
        <v>-81604.59</v>
      </c>
      <c r="J28" s="415">
        <f>IF(Calc!$B$15&lt;=Calc!$D$1,-'SC9 Q'!AS27,'SC9 Q'!I27)</f>
        <v>-62567.35</v>
      </c>
      <c r="K28" s="415">
        <f>IF(Calc!$B$16&lt;=Calc!$D$1,-'SC9 Q'!AT27,'SC9 Q'!J27)</f>
        <v>-196318.32</v>
      </c>
      <c r="L28" s="415">
        <f>IF(Calc!$B$17&lt;=Calc!$D$1,-'SC9 Q'!AU27,'SC9 Q'!K27)</f>
        <v>-88021.5</v>
      </c>
      <c r="M28" s="415">
        <f>IF(Calc!$B$18&lt;=Calc!$D$1,-'SC9 Q'!AV27,'SC9 Q'!L27)</f>
        <v>0</v>
      </c>
      <c r="N28" s="763">
        <f t="shared" si="4"/>
        <v>1148898.46</v>
      </c>
      <c r="O28" s="366">
        <f>SUM('SC9 Q'!B27:M27)</f>
        <v>0</v>
      </c>
      <c r="P28" s="331">
        <f>'C7Q'!F25</f>
        <v>0</v>
      </c>
      <c r="Q28" s="332">
        <f>'C7Q'!G25</f>
        <v>0</v>
      </c>
    </row>
    <row r="29" spans="1:18" ht="12.75" customHeight="1" x14ac:dyDescent="0.25">
      <c r="A29" s="614" t="s">
        <v>2048</v>
      </c>
      <c r="B29" s="354"/>
      <c r="C29" s="415"/>
      <c r="D29" s="415"/>
      <c r="E29" s="415"/>
      <c r="F29" s="415"/>
      <c r="G29" s="415"/>
      <c r="H29" s="415"/>
      <c r="I29" s="415"/>
      <c r="J29" s="415"/>
      <c r="K29" s="415"/>
      <c r="L29" s="415"/>
      <c r="M29" s="415"/>
      <c r="N29" s="763">
        <f t="shared" si="4"/>
        <v>0</v>
      </c>
      <c r="O29" s="366"/>
      <c r="P29" s="331"/>
      <c r="Q29" s="332"/>
    </row>
    <row r="30" spans="1:18" ht="12.75" customHeight="1" x14ac:dyDescent="0.25">
      <c r="A30" s="30" t="s">
        <v>1269</v>
      </c>
      <c r="B30" s="354"/>
      <c r="C30" s="415">
        <f>IF(Calc!$B$8&lt;=Calc!$D$1,'SC9 Q'!AL28,'SC9 Q'!B28)</f>
        <v>0</v>
      </c>
      <c r="D30" s="415">
        <f>IF(Calc!$B$9&lt;=Calc!$D$1,'SC9 Q'!AM28,'SC9 Q'!C28)</f>
        <v>0</v>
      </c>
      <c r="E30" s="415">
        <f>IF(Calc!$B$10&lt;=Calc!$D$1,'SC9 Q'!AN28,'SC9 Q'!D28)</f>
        <v>0</v>
      </c>
      <c r="F30" s="415">
        <f>IF(Calc!$B$11&lt;=Calc!$D$1,'SC9 Q'!AO28,'SC9 Q'!E28)</f>
        <v>0</v>
      </c>
      <c r="G30" s="415">
        <f>IF(Calc!$B$12&lt;=Calc!$D$1,'SC9 Q'!AP28,'SC9 Q'!F28)</f>
        <v>0</v>
      </c>
      <c r="H30" s="415">
        <f>IF(Calc!$B$13&lt;=Calc!$D$1,'SC9 Q'!AQ28,'SC9 Q'!G28)</f>
        <v>0</v>
      </c>
      <c r="I30" s="415">
        <f>IF(Calc!$B$14&lt;=Calc!$D$1,'SC9 Q'!AR28,'SC9 Q'!H28)</f>
        <v>0</v>
      </c>
      <c r="J30" s="415">
        <f>IF(Calc!$B$15&lt;=Calc!$D$1,'SC9 Q'!AS28,'SC9 Q'!I28)</f>
        <v>0</v>
      </c>
      <c r="K30" s="415">
        <f>IF(Calc!$B$16&lt;=Calc!$D$1,'SC9 Q'!AT28,'SC9 Q'!J28)</f>
        <v>0</v>
      </c>
      <c r="L30" s="415">
        <f>IF(Calc!$B$17&lt;=Calc!$D$1,'SC9 Q'!AU28,'SC9 Q'!K28)</f>
        <v>0</v>
      </c>
      <c r="M30" s="415">
        <f>IF(Calc!$B$18&lt;=Calc!$D$1,'SC9 Q'!AV28,'SC9 Q'!L28)</f>
        <v>0</v>
      </c>
      <c r="N30" s="763">
        <f t="shared" si="4"/>
        <v>0</v>
      </c>
      <c r="O30" s="366">
        <f>SUM('SC9 Q'!B28:M28)</f>
        <v>0</v>
      </c>
      <c r="P30" s="331">
        <f>'C7Q'!F26</f>
        <v>0</v>
      </c>
      <c r="Q30" s="332">
        <f>'C7Q'!G26</f>
        <v>0</v>
      </c>
    </row>
    <row r="31" spans="1:18" ht="12.75" customHeight="1" x14ac:dyDescent="0.25">
      <c r="A31" s="30" t="s">
        <v>819</v>
      </c>
      <c r="B31" s="354"/>
      <c r="C31" s="415">
        <f>IF(Calc!$B$8&lt;=Calc!$D$1,'SC9 Q'!AL29,'SC9 Q'!B29)</f>
        <v>0</v>
      </c>
      <c r="D31" s="415">
        <f>IF(Calc!$B$9&lt;=Calc!$D$1,'SC9 Q'!AM29,'SC9 Q'!C29)</f>
        <v>0</v>
      </c>
      <c r="E31" s="415">
        <f>IF(Calc!$B$10&lt;=Calc!$D$1,'SC9 Q'!AN29,'SC9 Q'!D29)</f>
        <v>0</v>
      </c>
      <c r="F31" s="415">
        <f>IF(Calc!$B$11&lt;=Calc!$D$1,'SC9 Q'!AO29,'SC9 Q'!E29)</f>
        <v>0</v>
      </c>
      <c r="G31" s="415">
        <f>IF(Calc!$B$12&lt;=Calc!$D$1,'SC9 Q'!AP29,'SC9 Q'!F29)</f>
        <v>0</v>
      </c>
      <c r="H31" s="415">
        <f>IF(Calc!$B$13&lt;=Calc!$D$1,'SC9 Q'!AQ29,'SC9 Q'!G29)</f>
        <v>0</v>
      </c>
      <c r="I31" s="415">
        <f>IF(Calc!$B$14&lt;=Calc!$D$1,'SC9 Q'!AR29,'SC9 Q'!H29)</f>
        <v>0</v>
      </c>
      <c r="J31" s="415">
        <f>IF(Calc!$B$15&lt;=Calc!$D$1,'SC9 Q'!AS29,'SC9 Q'!I29)</f>
        <v>0</v>
      </c>
      <c r="K31" s="415">
        <f>IF(Calc!$B$16&lt;=Calc!$D$1,'SC9 Q'!AT29,'SC9 Q'!J29)</f>
        <v>0</v>
      </c>
      <c r="L31" s="415">
        <f>IF(Calc!$B$17&lt;=Calc!$D$1,'SC9 Q'!AU29,'SC9 Q'!K29)</f>
        <v>0</v>
      </c>
      <c r="M31" s="415">
        <f>IF(Calc!$B$18&lt;=Calc!$D$1,'SC9 Q'!AV29,'SC9 Q'!L29)</f>
        <v>0</v>
      </c>
      <c r="N31" s="763">
        <f t="shared" si="4"/>
        <v>0</v>
      </c>
      <c r="O31" s="366">
        <f>SUM('SC9 Q'!B29:M29)</f>
        <v>0</v>
      </c>
      <c r="P31" s="331">
        <f>'C7Q'!F27</f>
        <v>0</v>
      </c>
      <c r="Q31" s="332">
        <f>'C7Q'!G27</f>
        <v>0</v>
      </c>
    </row>
    <row r="32" spans="1:18" ht="12.75" customHeight="1" x14ac:dyDescent="0.25">
      <c r="A32" s="62" t="s">
        <v>846</v>
      </c>
      <c r="B32" s="590"/>
      <c r="C32" s="150">
        <f t="shared" ref="C32:Q32" si="5">SUM(C21:C28)+SUM(C30:C31)</f>
        <v>733511608.01999998</v>
      </c>
      <c r="D32" s="52">
        <f t="shared" si="5"/>
        <v>424836865.73000002</v>
      </c>
      <c r="E32" s="52">
        <f t="shared" si="5"/>
        <v>644117153.92999995</v>
      </c>
      <c r="F32" s="52">
        <f t="shared" si="5"/>
        <v>453650220.92000002</v>
      </c>
      <c r="G32" s="52">
        <f t="shared" si="5"/>
        <v>367046688.27999997</v>
      </c>
      <c r="H32" s="52">
        <f t="shared" si="5"/>
        <v>544283246.99000001</v>
      </c>
      <c r="I32" s="52">
        <f t="shared" si="5"/>
        <v>540294601.01999986</v>
      </c>
      <c r="J32" s="52">
        <f t="shared" si="5"/>
        <v>349839729.65000004</v>
      </c>
      <c r="K32" s="52">
        <f t="shared" si="5"/>
        <v>509315425.24000001</v>
      </c>
      <c r="L32" s="52">
        <f t="shared" si="5"/>
        <v>364885558.28999996</v>
      </c>
      <c r="M32" s="52">
        <f t="shared" si="5"/>
        <v>414013658.63</v>
      </c>
      <c r="N32" s="591">
        <f>SUM(N21:N31)</f>
        <v>174129311.3600001</v>
      </c>
      <c r="O32" s="53">
        <f t="shared" si="5"/>
        <v>5519924068.0600014</v>
      </c>
      <c r="P32" s="52">
        <f t="shared" si="5"/>
        <v>6057812544.8000002</v>
      </c>
      <c r="Q32" s="79">
        <f t="shared" si="5"/>
        <v>6440451976.0999994</v>
      </c>
    </row>
    <row r="33" spans="1:18" ht="12.75" customHeight="1" x14ac:dyDescent="0.25">
      <c r="A33" s="29" t="s">
        <v>859</v>
      </c>
      <c r="B33" s="354"/>
      <c r="C33" s="148"/>
      <c r="D33" s="34"/>
      <c r="E33" s="34"/>
      <c r="F33" s="34"/>
      <c r="G33" s="34"/>
      <c r="H33" s="34"/>
      <c r="I33" s="34"/>
      <c r="J33" s="34"/>
      <c r="K33" s="34"/>
      <c r="L33" s="34"/>
      <c r="M33" s="34"/>
      <c r="N33" s="68">
        <f t="shared" ref="N33" si="6">O33-SUM(C33:M33)</f>
        <v>0</v>
      </c>
      <c r="O33" s="36"/>
      <c r="P33" s="34"/>
      <c r="Q33" s="78"/>
    </row>
    <row r="34" spans="1:18" ht="12.75" customHeight="1" x14ac:dyDescent="0.25">
      <c r="A34" s="30" t="s">
        <v>776</v>
      </c>
      <c r="B34" s="354"/>
      <c r="C34" s="415">
        <f>-IF(Calc!$B$8&lt;=Calc!$D$1,'SC9 Q'!AL32,'SC9 Q'!B32)</f>
        <v>-93634403.629999995</v>
      </c>
      <c r="D34" s="415">
        <f>-IF(Calc!$B$9&lt;=Calc!$D$1,'SC9 Q'!AM32,'SC9 Q'!C32)</f>
        <v>-89121721.030000001</v>
      </c>
      <c r="E34" s="415">
        <f>-IF(Calc!$B$10&lt;=Calc!$D$1,'SC9 Q'!AN32,'SC9 Q'!D32)</f>
        <v>-89657692.420000002</v>
      </c>
      <c r="F34" s="415">
        <f>-IF(Calc!$B$11&lt;=Calc!$D$1,'SC9 Q'!AO32,'SC9 Q'!E32)</f>
        <v>-100867588.54000001</v>
      </c>
      <c r="G34" s="415">
        <f>-IF(Calc!$B$12&lt;=Calc!$D$1,'SC9 Q'!AP32,'SC9 Q'!F32)</f>
        <v>-96211475.060000002</v>
      </c>
      <c r="H34" s="415">
        <f>-IF(Calc!$B$13&lt;=Calc!$D$1,'SC9 Q'!AQ32,'SC9 Q'!G32)</f>
        <v>-101786318.27</v>
      </c>
      <c r="I34" s="415">
        <f>-IF(Calc!$B$14&lt;=Calc!$D$1,'SC9 Q'!AR32,'SC9 Q'!H32)</f>
        <v>-94434497.859999999</v>
      </c>
      <c r="J34" s="415">
        <f>-IF(Calc!$B$15&lt;=Calc!$D$1,'SC9 Q'!AS32,'SC9 Q'!I32)</f>
        <v>-96100730.709999993</v>
      </c>
      <c r="K34" s="415">
        <f>-IF(Calc!$B$16&lt;=Calc!$D$1,'SC9 Q'!AT32,'SC9 Q'!J32)</f>
        <v>-93302851.969999999</v>
      </c>
      <c r="L34" s="415">
        <f>-IF(Calc!$B$17&lt;=Calc!$D$1,'SC9 Q'!AU32,'SC9 Q'!K32)</f>
        <v>-92613646.269999996</v>
      </c>
      <c r="M34" s="415">
        <f>-IF(Calc!$B$18&lt;=Calc!$D$1,'SC9 Q'!AV32,'SC9 Q'!L32)</f>
        <v>-95204422.780000001</v>
      </c>
      <c r="N34" s="763">
        <f t="shared" ref="N34:N43" si="7">O34-SUM(C34:M34)</f>
        <v>-75345986.829999804</v>
      </c>
      <c r="O34" s="366">
        <f>-SUM('SC9 Q'!B32:M32)</f>
        <v>-1118281335.3699999</v>
      </c>
      <c r="P34" s="331">
        <f>-'C7Q'!F30</f>
        <v>-1239756660</v>
      </c>
      <c r="Q34" s="332">
        <f>-'C7Q'!G30</f>
        <v>-1301418315</v>
      </c>
    </row>
    <row r="35" spans="1:18" ht="12.75" customHeight="1" x14ac:dyDescent="0.25">
      <c r="A35" s="30" t="s">
        <v>434</v>
      </c>
      <c r="B35" s="354"/>
      <c r="C35" s="415">
        <f>-IF(Calc!$B$8&lt;=Calc!$D$1,'SC9 Q'!AL33,'SC9 Q'!B33)</f>
        <v>0</v>
      </c>
      <c r="D35" s="415">
        <f>-IF(Calc!$B$9&lt;=Calc!$D$1,'SC9 Q'!AM33,'SC9 Q'!C33)</f>
        <v>0</v>
      </c>
      <c r="E35" s="415">
        <f>-IF(Calc!$B$10&lt;=Calc!$D$1,'SC9 Q'!AN33,'SC9 Q'!D33)</f>
        <v>0</v>
      </c>
      <c r="F35" s="415">
        <f>-IF(Calc!$B$11&lt;=Calc!$D$1,'SC9 Q'!AO33,'SC9 Q'!E33)</f>
        <v>0</v>
      </c>
      <c r="G35" s="415">
        <f>-IF(Calc!$B$12&lt;=Calc!$D$1,'SC9 Q'!AP33,'SC9 Q'!F33)</f>
        <v>0</v>
      </c>
      <c r="H35" s="415">
        <f>-IF(Calc!$B$13&lt;=Calc!$D$1,'SC9 Q'!AQ33,'SC9 Q'!G33)</f>
        <v>0</v>
      </c>
      <c r="I35" s="415">
        <f>-IF(Calc!$B$14&lt;=Calc!$D$1,'SC9 Q'!AR33,'SC9 Q'!H33)</f>
        <v>-30</v>
      </c>
      <c r="J35" s="415">
        <f>-IF(Calc!$B$15&lt;=Calc!$D$1,'SC9 Q'!AS33,'SC9 Q'!I33)</f>
        <v>0</v>
      </c>
      <c r="K35" s="415">
        <f>-IF(Calc!$B$16&lt;=Calc!$D$1,'SC9 Q'!AT33,'SC9 Q'!J33)</f>
        <v>0</v>
      </c>
      <c r="L35" s="415">
        <f>-IF(Calc!$B$17&lt;=Calc!$D$1,'SC9 Q'!AU33,'SC9 Q'!K33)</f>
        <v>0</v>
      </c>
      <c r="M35" s="415">
        <f>-IF(Calc!$B$18&lt;=Calc!$D$1,'SC9 Q'!AV33,'SC9 Q'!L33)</f>
        <v>-5681179.3700000001</v>
      </c>
      <c r="N35" s="763">
        <f t="shared" si="7"/>
        <v>-58944590.629999995</v>
      </c>
      <c r="O35" s="366">
        <f>-SUM('SC9 Q'!B33:M33)</f>
        <v>-64625799.999999993</v>
      </c>
      <c r="P35" s="331">
        <f>-'C7Q'!F31</f>
        <v>-65476200</v>
      </c>
      <c r="Q35" s="332">
        <f>-'C7Q'!G31</f>
        <v>-68787100</v>
      </c>
    </row>
    <row r="36" spans="1:18" ht="12.75" customHeight="1" x14ac:dyDescent="0.25">
      <c r="A36" s="30" t="s">
        <v>817</v>
      </c>
      <c r="B36" s="354"/>
      <c r="C36" s="415">
        <f>-IF(Calc!$B$8&lt;=Calc!$D$1,'SC9 Q'!AL34,'SC9 Q'!B34)</f>
        <v>0</v>
      </c>
      <c r="D36" s="415">
        <f>-IF(Calc!$B$9&lt;=Calc!$D$1,'SC9 Q'!AM34,'SC9 Q'!C34)</f>
        <v>0</v>
      </c>
      <c r="E36" s="415">
        <f>-IF(Calc!$B$10&lt;=Calc!$D$1,'SC9 Q'!AN34,'SC9 Q'!D34)</f>
        <v>0</v>
      </c>
      <c r="F36" s="415">
        <f>-IF(Calc!$B$11&lt;=Calc!$D$1,'SC9 Q'!AO34,'SC9 Q'!E34)</f>
        <v>0</v>
      </c>
      <c r="G36" s="415">
        <f>-IF(Calc!$B$12&lt;=Calc!$D$1,'SC9 Q'!AP34,'SC9 Q'!F34)</f>
        <v>0</v>
      </c>
      <c r="H36" s="415">
        <f>-IF(Calc!$B$13&lt;=Calc!$D$1,'SC9 Q'!AQ34,'SC9 Q'!G34)</f>
        <v>-94957175.890000001</v>
      </c>
      <c r="I36" s="415">
        <f>-IF(Calc!$B$14&lt;=Calc!$D$1,'SC9 Q'!AR34,'SC9 Q'!H34)</f>
        <v>0</v>
      </c>
      <c r="J36" s="415">
        <f>-IF(Calc!$B$15&lt;=Calc!$D$1,'SC9 Q'!AS34,'SC9 Q'!I34)</f>
        <v>0</v>
      </c>
      <c r="K36" s="415">
        <f>-IF(Calc!$B$16&lt;=Calc!$D$1,'SC9 Q'!AT34,'SC9 Q'!J34)</f>
        <v>0</v>
      </c>
      <c r="L36" s="415">
        <f>-IF(Calc!$B$17&lt;=Calc!$D$1,'SC9 Q'!AU34,'SC9 Q'!K34)</f>
        <v>0</v>
      </c>
      <c r="M36" s="415">
        <f>-IF(Calc!$B$18&lt;=Calc!$D$1,'SC9 Q'!AV34,'SC9 Q'!L34)</f>
        <v>-14259700</v>
      </c>
      <c r="N36" s="763">
        <f t="shared" si="7"/>
        <v>-75629224.109999999</v>
      </c>
      <c r="O36" s="366">
        <f>-SUM('SC9 Q'!B34:M34)</f>
        <v>-184846100</v>
      </c>
      <c r="P36" s="331">
        <f>-'C7Q'!F32</f>
        <v>-199420000</v>
      </c>
      <c r="Q36" s="332">
        <f>-'C7Q'!G32</f>
        <v>-214615700</v>
      </c>
    </row>
    <row r="37" spans="1:18" ht="12.75" customHeight="1" x14ac:dyDescent="0.25">
      <c r="A37" s="30" t="s">
        <v>845</v>
      </c>
      <c r="B37" s="354"/>
      <c r="C37" s="415">
        <f>-IF(Calc!$B$8&lt;=Calc!$D$1,'SC9 Q'!AL35,'SC9 Q'!B35)</f>
        <v>-177494984.34999999</v>
      </c>
      <c r="D37" s="415">
        <f>-IF(Calc!$B$9&lt;=Calc!$D$1,'SC9 Q'!AM35,'SC9 Q'!C35)</f>
        <v>-272581432.75</v>
      </c>
      <c r="E37" s="415">
        <f>-IF(Calc!$B$10&lt;=Calc!$D$1,'SC9 Q'!AN35,'SC9 Q'!D35)</f>
        <v>-229782139.99000001</v>
      </c>
      <c r="F37" s="415">
        <f>-IF(Calc!$B$11&lt;=Calc!$D$1,'SC9 Q'!AO35,'SC9 Q'!E35)</f>
        <v>-135423027.25999999</v>
      </c>
      <c r="G37" s="415">
        <f>-IF(Calc!$B$12&lt;=Calc!$D$1,'SC9 Q'!AP35,'SC9 Q'!F35)</f>
        <v>-153385814.00999999</v>
      </c>
      <c r="H37" s="415">
        <f>-IF(Calc!$B$13&lt;=Calc!$D$1,'SC9 Q'!AQ35,'SC9 Q'!G35)</f>
        <v>-159901050.38999999</v>
      </c>
      <c r="I37" s="415">
        <f>-IF(Calc!$B$14&lt;=Calc!$D$1,'SC9 Q'!AR35,'SC9 Q'!H35)</f>
        <v>-145042346.77000001</v>
      </c>
      <c r="J37" s="415">
        <f>-IF(Calc!$B$15&lt;=Calc!$D$1,'SC9 Q'!AS35,'SC9 Q'!I35)</f>
        <v>-158478923.44999999</v>
      </c>
      <c r="K37" s="415">
        <f>-IF(Calc!$B$16&lt;=Calc!$D$1,'SC9 Q'!AT35,'SC9 Q'!J35)</f>
        <v>-151223010.83000001</v>
      </c>
      <c r="L37" s="415">
        <f>-IF(Calc!$B$17&lt;=Calc!$D$1,'SC9 Q'!AU35,'SC9 Q'!K35)</f>
        <v>-163035927.69999999</v>
      </c>
      <c r="M37" s="415">
        <f>-IF(Calc!$B$18&lt;=Calc!$D$1,'SC9 Q'!AV35,'SC9 Q'!L35)</f>
        <v>-143978620</v>
      </c>
      <c r="N37" s="763">
        <f t="shared" si="7"/>
        <v>-182008257.49000001</v>
      </c>
      <c r="O37" s="366">
        <f>-SUM('SC9 Q'!B35:M35)</f>
        <v>-2072335534.99</v>
      </c>
      <c r="P37" s="331">
        <f>-'C7Q'!F33</f>
        <v>-2256773340</v>
      </c>
      <c r="Q37" s="332">
        <f>-'C7Q'!G33</f>
        <v>-2457626245</v>
      </c>
    </row>
    <row r="38" spans="1:18" ht="12.6" customHeight="1" x14ac:dyDescent="0.25">
      <c r="A38" s="30" t="s">
        <v>1277</v>
      </c>
      <c r="B38" s="354"/>
      <c r="C38" s="415">
        <f>-IF(Calc!$B$8&lt;=Calc!$D$1,'SC9 Q'!AL36,'SC9 Q'!B36)-IF(Calc!$B$8&lt;=Calc!$D$1,'SC9 Q'!AL37,'SC9 Q'!B37)</f>
        <v>-26062074.309999999</v>
      </c>
      <c r="D38" s="415">
        <f>-IF(Calc!$B$9&lt;=Calc!$D$1,'SC9 Q'!AM36,'SC9 Q'!C36)--IF(Calc!$B$9&lt;=Calc!$D$1,'SC9 Q'!AM37,'SC9 Q'!C37)</f>
        <v>-22661060.239999998</v>
      </c>
      <c r="E38" s="415">
        <f>-IF(Calc!$B$10&lt;=Calc!$D$1,'SC9 Q'!AN36,'SC9 Q'!D36)-IF(Calc!$B$10&lt;=Calc!$D$1,'SC9 Q'!AN37,'SC9 Q'!D37)</f>
        <v>-24442912.07</v>
      </c>
      <c r="F38" s="415">
        <f>-IF(Calc!$B$11&lt;=Calc!$D$1,'SC9 Q'!AO36,'SC9 Q'!E36)-IF(Calc!$B$11&lt;=Calc!$D$1,'SC9 Q'!AO37,'SC9 Q'!E37)</f>
        <v>-26882817.329999998</v>
      </c>
      <c r="G38" s="415">
        <f>-IF(Calc!$B$12&lt;=Calc!$D$1,'SC9 Q'!AP36,'SC9 Q'!F36)-IF(Calc!$B$12&lt;=Calc!$D$1,'SC9 Q'!AP37,'SC9 Q'!F37)</f>
        <v>-24086001.949999999</v>
      </c>
      <c r="H38" s="415">
        <f>-IF(Calc!$B$13&lt;=Calc!$D$1,'SC9 Q'!AQ36,'SC9 Q'!G36)-IF(Calc!$B$13&lt;=Calc!$D$1,'SC9 Q'!AQ37,'SC9 Q'!G37)</f>
        <v>-24179393.800000001</v>
      </c>
      <c r="I38" s="415">
        <f>-IF(Calc!$B$14&lt;=Calc!$D$1,'SC9 Q'!AR36,'SC9 Q'!H36)-IF(Calc!$B$14&lt;=Calc!$D$1,'SC9 Q'!AR37,'SC9 Q'!H37)</f>
        <v>-25335565.399999999</v>
      </c>
      <c r="J38" s="415">
        <f>-IF(Calc!$B$15&lt;=Calc!$D$1,'SC9 Q'!AS36,'SC9 Q'!I36)-IF(Calc!$B$15&lt;=Calc!$D$1,'SC9 Q'!AS37,'SC9 Q'!I37)</f>
        <v>-23398809.32</v>
      </c>
      <c r="K38" s="415">
        <f>-IF(Calc!$B$16&lt;=Calc!$D$1,'SC9 Q'!AT36,'SC9 Q'!J36)-IF(Calc!$B$16&lt;=Calc!$D$1,'SC9 Q'!AT37,'SC9 Q'!J37)</f>
        <v>-24387262.91</v>
      </c>
      <c r="L38" s="415">
        <f>-IF(Calc!$B$17&lt;=Calc!$D$1,'SC9 Q'!AU36,'SC9 Q'!K36)-IF(Calc!$B$17&lt;=Calc!$D$1,'SC9 Q'!AU37,'SC9 Q'!K37)</f>
        <v>-24177019.91</v>
      </c>
      <c r="M38" s="415">
        <f>-IF(Calc!$B$18&lt;=Calc!$D$1,'SC9 Q'!AV36,'SC9 Q'!L36)-IF(Calc!$B$18&lt;=Calc!$D$1,'SC9 Q'!AV37,'SC9 Q'!L37)</f>
        <v>-19400849.699999999</v>
      </c>
      <c r="N38" s="763">
        <f t="shared" si="7"/>
        <v>-48529428.229999959</v>
      </c>
      <c r="O38" s="366">
        <f>-SUM('SC9 Q'!B36:M36)-SUM('SC9 Q'!B37:M37)</f>
        <v>-313543195.16999996</v>
      </c>
      <c r="P38" s="331">
        <f>-'C7Q'!F34-'C7Q'!F35</f>
        <v>-338010750</v>
      </c>
      <c r="Q38" s="332">
        <f>-'C7Q'!G34-'C7Q'!G35</f>
        <v>-354041415</v>
      </c>
      <c r="R38" s="416"/>
    </row>
    <row r="39" spans="1:18" ht="11.45" hidden="1" customHeight="1" x14ac:dyDescent="0.25">
      <c r="A39" s="30"/>
      <c r="B39" s="354"/>
      <c r="C39" s="415"/>
      <c r="D39" s="415"/>
      <c r="E39" s="415"/>
      <c r="F39" s="415"/>
      <c r="G39" s="415"/>
      <c r="H39" s="415"/>
      <c r="I39" s="415"/>
      <c r="J39" s="415"/>
      <c r="K39" s="415"/>
      <c r="L39" s="415"/>
      <c r="M39" s="415"/>
      <c r="N39" s="763"/>
      <c r="O39" s="366"/>
      <c r="P39" s="331"/>
      <c r="Q39" s="332"/>
      <c r="R39" s="416"/>
    </row>
    <row r="40" spans="1:18" ht="12.6" customHeight="1" x14ac:dyDescent="0.25">
      <c r="A40" s="30" t="s">
        <v>778</v>
      </c>
      <c r="B40" s="354"/>
      <c r="C40" s="415">
        <f>-IF(Calc!$B$8&lt;=Calc!$D$1,'SC9 Q'!AL38,'SC9 Q'!B38)</f>
        <v>0</v>
      </c>
      <c r="D40" s="415">
        <f>-IF(Calc!$B$9&lt;=Calc!$D$1,'SC9 Q'!AM38,'SC9 Q'!C38)</f>
        <v>0</v>
      </c>
      <c r="E40" s="415">
        <f>-IF(Calc!$B$10&lt;=Calc!$D$1,'SC9 Q'!AN38,'SC9 Q'!D38)</f>
        <v>0</v>
      </c>
      <c r="F40" s="415">
        <f>-IF(Calc!$B$11&lt;=Calc!$D$1,'SC9 Q'!AO38,'SC9 Q'!E38)</f>
        <v>0</v>
      </c>
      <c r="G40" s="415">
        <f>-IF(Calc!$B$12&lt;=Calc!$D$1,'SC9 Q'!AP38,'SC9 Q'!F38)</f>
        <v>0</v>
      </c>
      <c r="H40" s="415">
        <f>-IF(Calc!$B$13&lt;=Calc!$D$1,'SC9 Q'!AQ38,'SC9 Q'!G38)</f>
        <v>0</v>
      </c>
      <c r="I40" s="415">
        <f>-IF(Calc!$B$14&lt;=Calc!$D$1,'SC9 Q'!AR38,'SC9 Q'!H38)</f>
        <v>0</v>
      </c>
      <c r="J40" s="415">
        <f>-IF(Calc!$B$15&lt;=Calc!$D$1,'SC9 Q'!AS38,'SC9 Q'!I38)</f>
        <v>0</v>
      </c>
      <c r="K40" s="415">
        <f>-IF(Calc!$B$16&lt;=Calc!$D$1,'SC9 Q'!AT38,'SC9 Q'!J38)</f>
        <v>0</v>
      </c>
      <c r="L40" s="415">
        <f>-IF(Calc!$B$17&lt;=Calc!$D$1,'SC9 Q'!AU38,'SC9 Q'!K38)</f>
        <v>0</v>
      </c>
      <c r="M40" s="415">
        <f>-IF(Calc!$B$18&lt;=Calc!$D$1,'SC9 Q'!AV38,'SC9 Q'!L38)</f>
        <v>-54354655.700000003</v>
      </c>
      <c r="N40" s="763">
        <f t="shared" si="7"/>
        <v>-623116554.54999995</v>
      </c>
      <c r="O40" s="366">
        <f>-SUM('SC9 Q'!B38:M38)</f>
        <v>-677471210.25</v>
      </c>
      <c r="P40" s="331">
        <f>-'C7Q'!F36</f>
        <v>-536001085</v>
      </c>
      <c r="Q40" s="332">
        <f>-'C7Q'!G36</f>
        <v>-579822755</v>
      </c>
    </row>
    <row r="41" spans="1:18" ht="12.75" customHeight="1" x14ac:dyDescent="0.25">
      <c r="A41" s="30" t="s">
        <v>1337</v>
      </c>
      <c r="B41" s="354"/>
      <c r="C41" s="415">
        <f>-IF(Calc!$B$8&lt;=Calc!$D$1,'SC9 Q'!AL39,'SC9 Q'!B39)</f>
        <v>0</v>
      </c>
      <c r="D41" s="415">
        <f>-IF(Calc!$B$9&lt;=Calc!$D$1,'SC9 Q'!AM39,'SC9 Q'!C39)</f>
        <v>0</v>
      </c>
      <c r="E41" s="415">
        <f>-IF(Calc!$B$10&lt;=Calc!$D$1,'SC9 Q'!AN39,'SC9 Q'!D39)</f>
        <v>0</v>
      </c>
      <c r="F41" s="415">
        <f>-IF(Calc!$B$11&lt;=Calc!$D$1,'SC9 Q'!AO39,'SC9 Q'!E39)</f>
        <v>0</v>
      </c>
      <c r="G41" s="415">
        <f>-IF(Calc!$B$12&lt;=Calc!$D$1,'SC9 Q'!AP39,'SC9 Q'!F39)</f>
        <v>0</v>
      </c>
      <c r="H41" s="415">
        <f>-IF(Calc!$B$13&lt;=Calc!$D$1,'SC9 Q'!AQ39,'SC9 Q'!G39)</f>
        <v>0</v>
      </c>
      <c r="I41" s="415">
        <f>-IF(Calc!$B$14&lt;=Calc!$D$1,'SC9 Q'!AR39,'SC9 Q'!H39)</f>
        <v>0</v>
      </c>
      <c r="J41" s="415">
        <f>-IF(Calc!$B$15&lt;=Calc!$D$1,'SC9 Q'!AS39,'SC9 Q'!I39)</f>
        <v>0</v>
      </c>
      <c r="K41" s="415">
        <f>-IF(Calc!$B$16&lt;=Calc!$D$1,'SC9 Q'!AT39,'SC9 Q'!J39)</f>
        <v>0</v>
      </c>
      <c r="L41" s="415">
        <f>-IF(Calc!$B$17&lt;=Calc!$D$1,'SC9 Q'!AU39,'SC9 Q'!K39)</f>
        <v>0</v>
      </c>
      <c r="M41" s="415">
        <f>-IF(Calc!$B$18&lt;=Calc!$D$1,'SC9 Q'!AV39,'SC9 Q'!L39)</f>
        <v>0</v>
      </c>
      <c r="N41" s="763">
        <f t="shared" si="7"/>
        <v>0</v>
      </c>
      <c r="O41" s="366">
        <f>-SUM('SC9 Q'!B39:M39)</f>
        <v>0</v>
      </c>
      <c r="P41" s="331">
        <f>-'C7Q'!F37</f>
        <v>0</v>
      </c>
      <c r="Q41" s="332">
        <f>-'C7Q'!G37</f>
        <v>0</v>
      </c>
    </row>
    <row r="42" spans="1:18" ht="12.75" customHeight="1" x14ac:dyDescent="0.25">
      <c r="A42" s="30" t="s">
        <v>1338</v>
      </c>
      <c r="B42" s="354"/>
      <c r="C42" s="415">
        <f>-IF(Calc!$B$8&lt;=Calc!$D$1,'SC9 Q'!AL40,'SC9 Q'!B40)</f>
        <v>0</v>
      </c>
      <c r="D42" s="415">
        <f>-IF(Calc!$B$9&lt;=Calc!$D$1,'SC9 Q'!AM40,'SC9 Q'!C40)</f>
        <v>0</v>
      </c>
      <c r="E42" s="415">
        <f>-IF(Calc!$B$10&lt;=Calc!$D$1,'SC9 Q'!AN40,'SC9 Q'!D40)</f>
        <v>0</v>
      </c>
      <c r="F42" s="415">
        <f>-IF(Calc!$B$11&lt;=Calc!$D$1,'SC9 Q'!AO40,'SC9 Q'!E40)</f>
        <v>0</v>
      </c>
      <c r="G42" s="415">
        <f>-IF(Calc!$B$12&lt;=Calc!$D$1,'SC9 Q'!AP40,'SC9 Q'!F40)</f>
        <v>0</v>
      </c>
      <c r="H42" s="415">
        <f>-IF(Calc!$B$13&lt;=Calc!$D$1,'SC9 Q'!AQ40,'SC9 Q'!G40)</f>
        <v>0</v>
      </c>
      <c r="I42" s="415">
        <f>-IF(Calc!$B$14&lt;=Calc!$D$1,'SC9 Q'!AR40,'SC9 Q'!H40)</f>
        <v>0</v>
      </c>
      <c r="J42" s="415">
        <f>-IF(Calc!$B$15&lt;=Calc!$D$1,'SC9 Q'!AS40,'SC9 Q'!I40)</f>
        <v>0</v>
      </c>
      <c r="K42" s="415">
        <f>-IF(Calc!$B$16&lt;=Calc!$D$1,'SC9 Q'!AT40,'SC9 Q'!J40)</f>
        <v>0</v>
      </c>
      <c r="L42" s="415">
        <f>-IF(Calc!$B$17&lt;=Calc!$D$1,'SC9 Q'!AU40,'SC9 Q'!K40)</f>
        <v>0</v>
      </c>
      <c r="M42" s="415">
        <f>-IF(Calc!$B$18&lt;=Calc!$D$1,'SC9 Q'!AV40,'SC9 Q'!L40)</f>
        <v>-196200</v>
      </c>
      <c r="N42" s="763">
        <f t="shared" si="7"/>
        <v>-6235800</v>
      </c>
      <c r="O42" s="366">
        <f>-SUM('SC9 Q'!B40:M40)</f>
        <v>-6432000</v>
      </c>
      <c r="P42" s="331">
        <f>-'C7Q'!F38</f>
        <v>-7938400</v>
      </c>
      <c r="Q42" s="332">
        <f>-'C7Q'!G38</f>
        <v>-8311300</v>
      </c>
    </row>
    <row r="43" spans="1:18" ht="12.75" customHeight="1" x14ac:dyDescent="0.25">
      <c r="A43" s="30" t="s">
        <v>395</v>
      </c>
      <c r="B43" s="354"/>
      <c r="C43" s="415">
        <f>-IF(Calc!$B$8&lt;=Calc!$D$1,'SC9 Q'!AL41,'SC9 Q'!B41)</f>
        <v>-126805761.47</v>
      </c>
      <c r="D43" s="415">
        <f>-IF(Calc!$B$9&lt;=Calc!$D$1,'SC9 Q'!AM41,'SC9 Q'!C41)</f>
        <v>-135062271.34</v>
      </c>
      <c r="E43" s="415">
        <f>-IF(Calc!$B$10&lt;=Calc!$D$1,'SC9 Q'!AN41,'SC9 Q'!D41)</f>
        <v>-85037463.469999999</v>
      </c>
      <c r="F43" s="415">
        <f>-IF(Calc!$B$11&lt;=Calc!$D$1,'SC9 Q'!AO41,'SC9 Q'!E41)</f>
        <v>-106474487.81999999</v>
      </c>
      <c r="G43" s="415">
        <f>-IF(Calc!$B$12&lt;=Calc!$D$1,'SC9 Q'!AP41,'SC9 Q'!F41)</f>
        <v>-103267809.81</v>
      </c>
      <c r="H43" s="415">
        <f>-IF(Calc!$B$13&lt;=Calc!$D$1,'SC9 Q'!AQ41,'SC9 Q'!G41)</f>
        <v>-133811472.45</v>
      </c>
      <c r="I43" s="415">
        <f>-IF(Calc!$B$14&lt;=Calc!$D$1,'SC9 Q'!AR41,'SC9 Q'!H41)</f>
        <v>-78877451.129999995</v>
      </c>
      <c r="J43" s="415">
        <f>-IF(Calc!$B$15&lt;=Calc!$D$1,'SC9 Q'!AS41,'SC9 Q'!I41)</f>
        <v>-70873277.459999993</v>
      </c>
      <c r="K43" s="415">
        <f>-IF(Calc!$B$16&lt;=Calc!$D$1,'SC9 Q'!AT41,'SC9 Q'!J41)</f>
        <v>-75953741.930000007</v>
      </c>
      <c r="L43" s="415">
        <f>-IF(Calc!$B$17&lt;=Calc!$D$1,'SC9 Q'!AU41,'SC9 Q'!K41)</f>
        <v>-94830231.829999998</v>
      </c>
      <c r="M43" s="415">
        <f>-IF(Calc!$B$18&lt;=Calc!$D$1,'SC9 Q'!AV41,'SC9 Q'!L41)</f>
        <v>-22133584.620000001</v>
      </c>
      <c r="N43" s="763">
        <f t="shared" si="7"/>
        <v>739920163.09000015</v>
      </c>
      <c r="O43" s="366">
        <f>-SUM('SC9 Q'!B41:M41)</f>
        <v>-293207390.24000001</v>
      </c>
      <c r="P43" s="331">
        <f>-'C7Q'!F39</f>
        <v>-283053105</v>
      </c>
      <c r="Q43" s="332">
        <f>-'C7Q'!G39</f>
        <v>-296728800</v>
      </c>
    </row>
    <row r="44" spans="1:18" ht="12.75" customHeight="1" x14ac:dyDescent="0.25">
      <c r="A44" s="59" t="s">
        <v>859</v>
      </c>
      <c r="B44" s="370">
        <f>SUM(B34:B43)</f>
        <v>0</v>
      </c>
      <c r="C44" s="207">
        <f>SUM(C34:C43)</f>
        <v>-423997223.75999999</v>
      </c>
      <c r="D44" s="200">
        <f t="shared" ref="D44:Q44" si="8">SUM(D34:D43)</f>
        <v>-519426485.36000001</v>
      </c>
      <c r="E44" s="200">
        <f t="shared" si="8"/>
        <v>-428920207.95000005</v>
      </c>
      <c r="F44" s="200">
        <f t="shared" si="8"/>
        <v>-369647920.94999999</v>
      </c>
      <c r="G44" s="200">
        <f t="shared" si="8"/>
        <v>-376951100.82999998</v>
      </c>
      <c r="H44" s="200">
        <f t="shared" si="8"/>
        <v>-514635410.79999995</v>
      </c>
      <c r="I44" s="200">
        <f t="shared" si="8"/>
        <v>-343689891.15999997</v>
      </c>
      <c r="J44" s="200">
        <f t="shared" si="8"/>
        <v>-348851740.93999994</v>
      </c>
      <c r="K44" s="200">
        <f t="shared" si="8"/>
        <v>-344866867.64000005</v>
      </c>
      <c r="L44" s="200">
        <f t="shared" si="8"/>
        <v>-374656825.70999998</v>
      </c>
      <c r="M44" s="200">
        <f t="shared" si="8"/>
        <v>-355209212.17000002</v>
      </c>
      <c r="N44" s="210">
        <f t="shared" si="8"/>
        <v>-329889678.74999952</v>
      </c>
      <c r="O44" s="207">
        <f t="shared" si="8"/>
        <v>-4730742566.0199995</v>
      </c>
      <c r="P44" s="200">
        <f t="shared" si="8"/>
        <v>-4926429540</v>
      </c>
      <c r="Q44" s="211">
        <f t="shared" si="8"/>
        <v>-5281351630</v>
      </c>
    </row>
    <row r="45" spans="1:18" ht="12.75" customHeight="1" x14ac:dyDescent="0.25">
      <c r="A45" s="59" t="s">
        <v>616</v>
      </c>
      <c r="B45" s="354"/>
      <c r="C45" s="148"/>
      <c r="D45" s="34"/>
      <c r="E45" s="34"/>
      <c r="F45" s="34"/>
      <c r="G45" s="34"/>
      <c r="H45" s="34"/>
      <c r="I45" s="34"/>
      <c r="J45" s="34"/>
      <c r="K45" s="34"/>
      <c r="L45" s="34"/>
      <c r="M45" s="34"/>
      <c r="N45" s="68"/>
      <c r="O45" s="36"/>
      <c r="P45" s="34"/>
      <c r="Q45" s="78"/>
    </row>
    <row r="46" spans="1:18" ht="12.75" customHeight="1" x14ac:dyDescent="0.25">
      <c r="A46" s="30" t="s">
        <v>645</v>
      </c>
      <c r="B46" s="354"/>
      <c r="C46" s="415">
        <f>-IF(Calc!$B$8&lt;=Calc!$D$1,'SC9 Q'!AL44,'SC9 Q'!B44)</f>
        <v>-93755293.599999994</v>
      </c>
      <c r="D46" s="415">
        <f>-IF(Calc!$B$9&lt;=Calc!$D$1,'SC9 Q'!AM44,'SC9 Q'!C44)</f>
        <v>-70998792.969999999</v>
      </c>
      <c r="E46" s="415">
        <f>-IF(Calc!$B$10&lt;=Calc!$D$1,'SC9 Q'!AN44,'SC9 Q'!D44)</f>
        <v>-31307417.82</v>
      </c>
      <c r="F46" s="415">
        <f>-IF(Calc!$B$11&lt;=Calc!$D$1,'SC9 Q'!AO44,'SC9 Q'!E44)</f>
        <v>-24964402.530000001</v>
      </c>
      <c r="G46" s="415">
        <f>-IF(Calc!$B$12&lt;=Calc!$D$1,'SC9 Q'!AP44,'SC9 Q'!F44)</f>
        <v>-63568865.689999998</v>
      </c>
      <c r="H46" s="415">
        <f>-IF(Calc!$B$13&lt;=Calc!$D$1,'SC9 Q'!AQ44,'SC9 Q'!G44)</f>
        <v>-79727190.540000007</v>
      </c>
      <c r="I46" s="415">
        <f>-IF(Calc!$B$14&lt;=Calc!$D$1,'SC9 Q'!AR44,'SC9 Q'!H44)</f>
        <v>-28167217.41</v>
      </c>
      <c r="J46" s="415">
        <f>-IF(Calc!$B$15&lt;=Calc!$D$1,'SC9 Q'!AS44,'SC9 Q'!I44)</f>
        <v>-23771755.239999998</v>
      </c>
      <c r="K46" s="415">
        <f>-IF(Calc!$B$16&lt;=Calc!$D$1,'SC9 Q'!AT44,'SC9 Q'!J44)</f>
        <v>-42774692.850000001</v>
      </c>
      <c r="L46" s="415">
        <f>-IF(Calc!$B$17&lt;=Calc!$D$1,'SC9 Q'!AU44,'SC9 Q'!K44)</f>
        <v>-48967469.770000003</v>
      </c>
      <c r="M46" s="415">
        <f>-IF(Calc!$B$18&lt;=Calc!$D$1,'SC9 Q'!AV44,'SC9 Q'!L44)</f>
        <v>-76588947.319999993</v>
      </c>
      <c r="N46" s="763">
        <f t="shared" ref="N46:N48" si="9">O46-SUM(C46:M46)</f>
        <v>-137383934.31999981</v>
      </c>
      <c r="O46" s="366">
        <f>-SUM('SC9 Q'!B44:M44)</f>
        <v>-721975980.05999982</v>
      </c>
      <c r="P46" s="331">
        <f>-'C7Q'!F42</f>
        <v>-710153060</v>
      </c>
      <c r="Q46" s="332">
        <f>-'C7Q'!G42</f>
        <v>-658458950</v>
      </c>
    </row>
    <row r="47" spans="1:18" ht="12.75" customHeight="1" x14ac:dyDescent="0.25">
      <c r="A47" s="30" t="s">
        <v>830</v>
      </c>
      <c r="B47" s="354"/>
      <c r="C47" s="415">
        <f>-IF(Calc!$B$8&lt;=Calc!$D$1,'SC9 Q'!AL45,'SC9 Q'!B45)</f>
        <v>0</v>
      </c>
      <c r="D47" s="415">
        <f>-IF(Calc!$B$9&lt;=Calc!$D$1,'SC9 Q'!AM45,'SC9 Q'!C45)</f>
        <v>0</v>
      </c>
      <c r="E47" s="415">
        <f>IF(Calc!$B$10&lt;=Calc!$D$1,-'SC9 Q'!AN45,'SC9 Q'!D45)</f>
        <v>0</v>
      </c>
      <c r="F47" s="415">
        <f>IF(Calc!$B$11&lt;=Calc!$D$1,-'SC9 Q'!AO45,'SC9 Q'!E45)</f>
        <v>0</v>
      </c>
      <c r="G47" s="415">
        <f>IF(Calc!$B$12&lt;=Calc!$D$1,-'SC9 Q'!AP45,'SC9 Q'!F45)</f>
        <v>0</v>
      </c>
      <c r="H47" s="415">
        <f>IF(Calc!$B$13&lt;=Calc!$D$1,-'SC9 Q'!AQ45,'SC9 Q'!G45)</f>
        <v>-104597182.8</v>
      </c>
      <c r="I47" s="415">
        <f>IF(Calc!$B$14&lt;=Calc!$D$1,-'SC9 Q'!AR45,'SC9 Q'!H45)</f>
        <v>0</v>
      </c>
      <c r="J47" s="415">
        <f>IF(Calc!$B$15&lt;=Calc!$D$1,-'SC9 Q'!AS45,'SC9 Q'!AA45)</f>
        <v>8185293.4100000001</v>
      </c>
      <c r="K47" s="415">
        <f>IF(Calc!$B$16&lt;=Calc!$D$1,-'SC9 Q'!AT45,'SC9 Q'!AB45)</f>
        <v>0</v>
      </c>
      <c r="L47" s="415">
        <f>IF(Calc!$B$17&lt;=Calc!$D$1,-'SC9 Q'!AU45,'SC9 Q'!AC45)</f>
        <v>0</v>
      </c>
      <c r="M47" s="415">
        <f>IF(Calc!$B$18&lt;=Calc!$D$1,-'SC9 Q'!AV45,'SC9 Q'!AD45)</f>
        <v>0</v>
      </c>
      <c r="N47" s="763">
        <f t="shared" si="9"/>
        <v>-95836610.609999999</v>
      </c>
      <c r="O47" s="366">
        <f>-SUM('SC9 Q'!B45:M45)</f>
        <v>-192248500</v>
      </c>
      <c r="P47" s="331">
        <f>-'C7Q'!F43</f>
        <v>-222141900</v>
      </c>
      <c r="Q47" s="332">
        <f>-'C7Q'!G43</f>
        <v>-203118200</v>
      </c>
    </row>
    <row r="48" spans="1:18" ht="12.75" customHeight="1" x14ac:dyDescent="0.25">
      <c r="A48" s="30" t="s">
        <v>2</v>
      </c>
      <c r="B48" s="354"/>
      <c r="C48" s="415">
        <f>IF(Calc!$B$8&lt;=Calc!$D$1,'SC9 Q'!AL46,'SC9 Q'!B46)</f>
        <v>0</v>
      </c>
      <c r="D48" s="415">
        <f>IF(Calc!$B$9&lt;=Calc!$D$1,'SC9 Q'!AM46,'SC9 Q'!C46)</f>
        <v>0</v>
      </c>
      <c r="E48" s="415">
        <f>IF(Calc!$B$10&lt;=Calc!$D$1,-'SC9 Q'!AN46,'SC9 Q'!D46)</f>
        <v>0</v>
      </c>
      <c r="F48" s="415">
        <f>IF(Calc!$B$11&lt;=Calc!$D$1,-'SC9 Q'!AO46,'SC9 Q'!E46)</f>
        <v>0</v>
      </c>
      <c r="G48" s="415">
        <f>IF(Calc!$B$12&lt;=Calc!$D$1,-'SC9 Q'!AP46,'SC9 Q'!F46)</f>
        <v>0</v>
      </c>
      <c r="H48" s="415">
        <f>IF(Calc!$B$13&lt;=Calc!$D$1,-'SC9 Q'!AQ46,'SC9 Q'!G46)</f>
        <v>0</v>
      </c>
      <c r="I48" s="415">
        <f>IF(Calc!$B$14&lt;=Calc!$D$1,-'SC9 Q'!AR46,'SC9 Q'!H46)</f>
        <v>0</v>
      </c>
      <c r="J48" s="415">
        <f>IF(Calc!$B$15&lt;=Calc!$D$1,-'SC9 Q'!AS46,'SC9 Q'!AA46)</f>
        <v>0</v>
      </c>
      <c r="K48" s="415">
        <f>IF(Calc!$B$16&lt;=Calc!$D$1,-'SC9 Q'!AT46,'SC9 Q'!AB46)</f>
        <v>0</v>
      </c>
      <c r="L48" s="415">
        <f>IF(Calc!$B$17&lt;=Calc!$D$1,-'SC9 Q'!AU46,'SC9 Q'!AC46)</f>
        <v>0</v>
      </c>
      <c r="M48" s="415">
        <f>IF(Calc!$B$18&lt;=Calc!$D$1,-'SC9 Q'!AV46,'SC9 Q'!AD46)</f>
        <v>0</v>
      </c>
      <c r="N48" s="763">
        <f t="shared" si="9"/>
        <v>0</v>
      </c>
      <c r="O48" s="366">
        <f>-SUM('SC9 Q'!B46:M46)</f>
        <v>0</v>
      </c>
      <c r="P48" s="331">
        <f>-'C7Q'!F44</f>
        <v>0</v>
      </c>
      <c r="Q48" s="393">
        <f>-'C7Q'!G44</f>
        <v>0</v>
      </c>
    </row>
    <row r="49" spans="1:20" ht="12.75" customHeight="1" x14ac:dyDescent="0.25">
      <c r="A49" s="62" t="s">
        <v>847</v>
      </c>
      <c r="B49" s="590">
        <f t="shared" ref="B49:Q49" si="10">SUM(B44:B48)</f>
        <v>0</v>
      </c>
      <c r="C49" s="150">
        <f t="shared" si="10"/>
        <v>-517752517.36000001</v>
      </c>
      <c r="D49" s="52">
        <f t="shared" si="10"/>
        <v>-590425278.33000004</v>
      </c>
      <c r="E49" s="52">
        <f t="shared" si="10"/>
        <v>-460227625.77000004</v>
      </c>
      <c r="F49" s="52">
        <f t="shared" si="10"/>
        <v>-394612323.48000002</v>
      </c>
      <c r="G49" s="52">
        <f t="shared" si="10"/>
        <v>-440519966.51999998</v>
      </c>
      <c r="H49" s="52">
        <f t="shared" si="10"/>
        <v>-698959784.13999987</v>
      </c>
      <c r="I49" s="52">
        <f t="shared" si="10"/>
        <v>-371857108.56999999</v>
      </c>
      <c r="J49" s="52">
        <f t="shared" si="10"/>
        <v>-364438202.76999992</v>
      </c>
      <c r="K49" s="52">
        <f t="shared" si="10"/>
        <v>-387641560.49000007</v>
      </c>
      <c r="L49" s="52">
        <f t="shared" si="10"/>
        <v>-423624295.47999996</v>
      </c>
      <c r="M49" s="52">
        <f t="shared" si="10"/>
        <v>-431798159.49000001</v>
      </c>
      <c r="N49" s="79">
        <f t="shared" si="10"/>
        <v>-563110223.67999935</v>
      </c>
      <c r="O49" s="150">
        <f t="shared" si="10"/>
        <v>-5644967046.079999</v>
      </c>
      <c r="P49" s="52">
        <f t="shared" si="10"/>
        <v>-5858724500</v>
      </c>
      <c r="Q49" s="79">
        <f t="shared" si="10"/>
        <v>-6142928780</v>
      </c>
    </row>
    <row r="50" spans="1:20" ht="12.75" customHeight="1" x14ac:dyDescent="0.25">
      <c r="A50" s="486" t="s">
        <v>527</v>
      </c>
      <c r="B50" s="370">
        <f t="shared" ref="B50" si="11">B32-B49</f>
        <v>0</v>
      </c>
      <c r="C50" s="370">
        <f>C32+C49</f>
        <v>215759090.65999997</v>
      </c>
      <c r="D50" s="370">
        <f>D32+D49</f>
        <v>-165588412.60000002</v>
      </c>
      <c r="E50" s="370">
        <f t="shared" ref="E50:M50" si="12">E32+E49</f>
        <v>183889528.15999991</v>
      </c>
      <c r="F50" s="370">
        <f t="shared" si="12"/>
        <v>59037897.439999998</v>
      </c>
      <c r="G50" s="370">
        <f t="shared" si="12"/>
        <v>-73473278.24000001</v>
      </c>
      <c r="H50" s="370">
        <f t="shared" si="12"/>
        <v>-154676537.14999986</v>
      </c>
      <c r="I50" s="370">
        <f t="shared" si="12"/>
        <v>168437492.44999987</v>
      </c>
      <c r="J50" s="370">
        <f t="shared" si="12"/>
        <v>-14598473.119999886</v>
      </c>
      <c r="K50" s="370">
        <f t="shared" si="12"/>
        <v>121673864.74999994</v>
      </c>
      <c r="L50" s="370">
        <f t="shared" si="12"/>
        <v>-58738737.189999998</v>
      </c>
      <c r="M50" s="370">
        <f t="shared" si="12"/>
        <v>-17784500.860000014</v>
      </c>
      <c r="N50" s="370">
        <f>N32+N49</f>
        <v>-388980912.31999922</v>
      </c>
      <c r="O50" s="370">
        <f>O32+O49</f>
        <v>-125042978.0199976</v>
      </c>
      <c r="P50" s="370">
        <f>P32+P49</f>
        <v>199088044.80000019</v>
      </c>
      <c r="Q50" s="370">
        <f>Q32+Q49</f>
        <v>297523196.09999943</v>
      </c>
    </row>
    <row r="51" spans="1:20" ht="12.75" customHeight="1" x14ac:dyDescent="0.25">
      <c r="A51" s="30" t="s">
        <v>522</v>
      </c>
      <c r="B51" s="354"/>
      <c r="C51" s="415">
        <f>239718494.47+32748366.08</f>
        <v>272466860.55000001</v>
      </c>
      <c r="D51" s="34">
        <f>C52</f>
        <v>488225951.20999998</v>
      </c>
      <c r="E51" s="34">
        <f t="shared" ref="E51:N51" si="13">D52</f>
        <v>322637538.60999995</v>
      </c>
      <c r="F51" s="34">
        <f t="shared" si="13"/>
        <v>506527066.76999986</v>
      </c>
      <c r="G51" s="34">
        <f t="shared" si="13"/>
        <v>565564964.2099998</v>
      </c>
      <c r="H51" s="34">
        <f>G52</f>
        <v>492091685.96999979</v>
      </c>
      <c r="I51" s="34">
        <f t="shared" si="13"/>
        <v>337415148.81999993</v>
      </c>
      <c r="J51" s="34">
        <f t="shared" si="13"/>
        <v>505852641.2699998</v>
      </c>
      <c r="K51" s="34">
        <f t="shared" si="13"/>
        <v>491254168.14999992</v>
      </c>
      <c r="L51" s="34">
        <f t="shared" si="13"/>
        <v>612928032.89999986</v>
      </c>
      <c r="M51" s="34">
        <f t="shared" si="13"/>
        <v>554189295.7099998</v>
      </c>
      <c r="N51" s="78">
        <f t="shared" si="13"/>
        <v>536404794.84999979</v>
      </c>
      <c r="O51" s="148">
        <f>C51</f>
        <v>272466860.55000001</v>
      </c>
      <c r="P51" s="34">
        <f>O52</f>
        <v>147423882.53000242</v>
      </c>
      <c r="Q51" s="78">
        <f>P52</f>
        <v>346511927.33000261</v>
      </c>
      <c r="T51" s="33"/>
    </row>
    <row r="52" spans="1:20" ht="12.75" customHeight="1" x14ac:dyDescent="0.25">
      <c r="A52" s="421" t="s">
        <v>617</v>
      </c>
      <c r="B52" s="592"/>
      <c r="C52" s="593">
        <f>C50+C51</f>
        <v>488225951.20999998</v>
      </c>
      <c r="D52" s="362">
        <f>D50+D51</f>
        <v>322637538.60999995</v>
      </c>
      <c r="E52" s="362">
        <f t="shared" ref="E52:N52" si="14">E50+E51</f>
        <v>506527066.76999986</v>
      </c>
      <c r="F52" s="362">
        <f t="shared" si="14"/>
        <v>565564964.2099998</v>
      </c>
      <c r="G52" s="362">
        <f t="shared" si="14"/>
        <v>492091685.96999979</v>
      </c>
      <c r="H52" s="362">
        <f t="shared" si="14"/>
        <v>337415148.81999993</v>
      </c>
      <c r="I52" s="362">
        <f t="shared" si="14"/>
        <v>505852641.2699998</v>
      </c>
      <c r="J52" s="362">
        <f t="shared" si="14"/>
        <v>491254168.14999992</v>
      </c>
      <c r="K52" s="362">
        <f t="shared" si="14"/>
        <v>612928032.89999986</v>
      </c>
      <c r="L52" s="362">
        <f t="shared" si="14"/>
        <v>554189295.7099998</v>
      </c>
      <c r="M52" s="362">
        <f t="shared" si="14"/>
        <v>536404794.84999979</v>
      </c>
      <c r="N52" s="360">
        <f t="shared" si="14"/>
        <v>147423882.53000057</v>
      </c>
      <c r="O52" s="361">
        <f>O50+O51</f>
        <v>147423882.53000242</v>
      </c>
      <c r="P52" s="362">
        <f>P50+P51</f>
        <v>346511927.33000261</v>
      </c>
      <c r="Q52" s="424">
        <f>Q50+Q51</f>
        <v>644035123.43000197</v>
      </c>
    </row>
    <row r="53" spans="1:20" ht="12.75" customHeight="1" x14ac:dyDescent="0.25">
      <c r="A53" s="64" t="str">
        <f>head27a</f>
        <v>References</v>
      </c>
    </row>
    <row r="54" spans="1:20" ht="12.75" customHeight="1" x14ac:dyDescent="0.25">
      <c r="A54" s="73" t="s">
        <v>37</v>
      </c>
      <c r="O54" s="33"/>
    </row>
    <row r="55" spans="1:20" ht="12.75" customHeight="1" x14ac:dyDescent="0.25">
      <c r="A55" s="73" t="s">
        <v>38</v>
      </c>
    </row>
    <row r="56" spans="1:20" ht="12.75" customHeight="1" x14ac:dyDescent="0.25">
      <c r="A56" s="315" t="s">
        <v>56</v>
      </c>
      <c r="H56" s="33"/>
    </row>
    <row r="57" spans="1:20" ht="12.75" customHeight="1" x14ac:dyDescent="0.25"/>
    <row r="58" spans="1:20" ht="10.5" customHeight="1" x14ac:dyDescent="0.25"/>
    <row r="60" spans="1:20" x14ac:dyDescent="0.25">
      <c r="E60" s="58"/>
      <c r="F60" s="58"/>
      <c r="G60" s="58"/>
      <c r="H60" s="58"/>
      <c r="I60" s="58"/>
      <c r="J60" s="58"/>
      <c r="K60" s="58"/>
      <c r="L60" s="58"/>
      <c r="M60" s="58"/>
    </row>
    <row r="61" spans="1:20" x14ac:dyDescent="0.25">
      <c r="E61" s="58">
        <f>E44+E60</f>
        <v>-428920207.95000005</v>
      </c>
      <c r="F61" s="58">
        <f t="shared" ref="F61:L61" si="15">F44+F60</f>
        <v>-369647920.94999999</v>
      </c>
      <c r="G61" s="58">
        <f t="shared" si="15"/>
        <v>-376951100.82999998</v>
      </c>
      <c r="H61" s="58">
        <f t="shared" si="15"/>
        <v>-514635410.79999995</v>
      </c>
      <c r="I61" s="58">
        <f t="shared" si="15"/>
        <v>-343689891.15999997</v>
      </c>
      <c r="J61" s="58">
        <f t="shared" si="15"/>
        <v>-348851740.93999994</v>
      </c>
      <c r="K61" s="58">
        <f t="shared" si="15"/>
        <v>-344866867.64000005</v>
      </c>
      <c r="L61" s="58">
        <f t="shared" si="15"/>
        <v>-374656825.70999998</v>
      </c>
      <c r="M61" s="58"/>
      <c r="N61" s="58">
        <f>N44+N60</f>
        <v>-329889678.74999952</v>
      </c>
      <c r="O61" s="58">
        <f>O44+O60</f>
        <v>-4730742566.0199995</v>
      </c>
      <c r="P61" s="58">
        <f>P44+P60</f>
        <v>-4926429540</v>
      </c>
    </row>
    <row r="62" spans="1:20" x14ac:dyDescent="0.25">
      <c r="E62" s="58">
        <f t="shared" ref="E62:P62" si="16">E50-E60</f>
        <v>183889528.15999991</v>
      </c>
      <c r="F62" s="58">
        <f t="shared" si="16"/>
        <v>59037897.439999998</v>
      </c>
      <c r="G62" s="58">
        <f t="shared" si="16"/>
        <v>-73473278.24000001</v>
      </c>
      <c r="H62" s="58">
        <f t="shared" si="16"/>
        <v>-154676537.14999986</v>
      </c>
      <c r="I62" s="58">
        <f t="shared" si="16"/>
        <v>168437492.44999987</v>
      </c>
      <c r="J62" s="58">
        <f t="shared" si="16"/>
        <v>-14598473.119999886</v>
      </c>
      <c r="K62" s="58">
        <f t="shared" si="16"/>
        <v>121673864.74999994</v>
      </c>
      <c r="L62" s="58">
        <f t="shared" si="16"/>
        <v>-58738737.189999998</v>
      </c>
      <c r="M62" s="58">
        <f>M50-M60</f>
        <v>-17784500.860000014</v>
      </c>
      <c r="N62" s="58">
        <f>N50-N60</f>
        <v>-388980912.31999922</v>
      </c>
      <c r="O62" s="58">
        <f t="shared" si="16"/>
        <v>-125042978.0199976</v>
      </c>
      <c r="P62" s="58">
        <f t="shared" si="16"/>
        <v>199088044.80000019</v>
      </c>
    </row>
    <row r="187" spans="2:43" x14ac:dyDescent="0.25">
      <c r="B187" s="375"/>
      <c r="C187" s="375"/>
      <c r="D187" s="375"/>
      <c r="E187" s="375"/>
      <c r="F187" s="375"/>
      <c r="G187" s="375"/>
      <c r="H187" s="375"/>
      <c r="I187" s="375"/>
      <c r="J187" s="375"/>
      <c r="K187" s="375"/>
      <c r="L187" s="375"/>
      <c r="N187" s="58"/>
      <c r="O187" s="58"/>
      <c r="P187" s="58"/>
      <c r="Q187" s="58"/>
      <c r="R187" s="58"/>
      <c r="S187" s="58"/>
      <c r="AG187" s="58"/>
      <c r="AH187" s="58"/>
      <c r="AI187" s="58"/>
      <c r="AJ187" s="58"/>
      <c r="AK187" s="58"/>
      <c r="AL187" s="58"/>
      <c r="AM187" s="58"/>
      <c r="AN187" s="58"/>
      <c r="AO187" s="58"/>
      <c r="AP187" s="58"/>
      <c r="AQ187" s="58"/>
    </row>
    <row r="188" spans="2:43" x14ac:dyDescent="0.25">
      <c r="N188" s="58"/>
      <c r="O188" s="58"/>
      <c r="P188" s="58"/>
      <c r="Q188" s="58"/>
      <c r="R188" s="58"/>
      <c r="S188" s="58"/>
      <c r="AG188" s="58"/>
      <c r="AH188" s="58"/>
      <c r="AI188" s="58"/>
      <c r="AJ188" s="58"/>
      <c r="AK188" s="58"/>
      <c r="AL188" s="58"/>
      <c r="AM188" s="58"/>
      <c r="AN188" s="58"/>
      <c r="AO188" s="58"/>
      <c r="AP188" s="58"/>
      <c r="AQ188" s="58"/>
    </row>
    <row r="189" spans="2:43" x14ac:dyDescent="0.25">
      <c r="N189" s="58"/>
      <c r="O189" s="58"/>
      <c r="P189" s="58"/>
      <c r="Q189" s="58"/>
      <c r="R189" s="58"/>
      <c r="S189" s="58"/>
      <c r="AG189" s="58"/>
      <c r="AH189" s="58"/>
      <c r="AI189" s="58"/>
      <c r="AJ189" s="58"/>
      <c r="AK189" s="58"/>
      <c r="AL189" s="58"/>
      <c r="AM189" s="58"/>
      <c r="AN189" s="58"/>
      <c r="AO189" s="58"/>
      <c r="AP189" s="58"/>
      <c r="AQ189" s="58"/>
    </row>
  </sheetData>
  <mergeCells count="7">
    <mergeCell ref="P3:P4"/>
    <mergeCell ref="Q3:Q4"/>
    <mergeCell ref="A2:A3"/>
    <mergeCell ref="O3:O4"/>
    <mergeCell ref="B2:B3"/>
    <mergeCell ref="C2:N2"/>
    <mergeCell ref="O2:Q2"/>
  </mergeCells>
  <phoneticPr fontId="2" type="noConversion"/>
  <printOptions horizontalCentered="1"/>
  <pageMargins left="0.55118110236220474" right="0.19685039370078741" top="0.51181102362204722" bottom="0.23622047244094491" header="0.51181102362204722" footer="0.19685039370078741"/>
  <pageSetup paperSize="9" scale="75" orientation="landscape" r:id="rId1"/>
  <headerFooter alignWithMargins="0">
    <oddFooter>&amp;L&amp;F&amp;C&amp;A&amp;R&amp;D</oddFooter>
  </headerFooter>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X47"/>
  <sheetViews>
    <sheetView topLeftCell="R1" workbookViewId="0">
      <selection activeCell="AO26" sqref="AO26"/>
    </sheetView>
  </sheetViews>
  <sheetFormatPr defaultRowHeight="12.75" x14ac:dyDescent="0.2"/>
  <cols>
    <col min="1" max="1" width="46.7109375" bestFit="1" customWidth="1"/>
    <col min="2" max="13" width="12" bestFit="1" customWidth="1"/>
    <col min="14" max="16" width="13.42578125" bestFit="1" customWidth="1"/>
    <col min="17" max="17" width="12.85546875" customWidth="1"/>
    <col min="18" max="18" width="12" bestFit="1" customWidth="1"/>
    <col min="19" max="19" width="50.7109375" hidden="1" customWidth="1"/>
    <col min="20" max="31" width="11.7109375" hidden="1" customWidth="1"/>
    <col min="32" max="32" width="12.7109375" hidden="1" customWidth="1"/>
    <col min="33" max="34" width="13.42578125" hidden="1" customWidth="1"/>
    <col min="35" max="36" width="12.7109375" bestFit="1" customWidth="1"/>
    <col min="37" max="37" width="50.7109375" customWidth="1"/>
    <col min="38" max="44" width="13.7109375" customWidth="1"/>
    <col min="45" max="48" width="12" customWidth="1"/>
    <col min="49" max="49" width="12.42578125" customWidth="1"/>
    <col min="50" max="50" width="12" customWidth="1"/>
  </cols>
  <sheetData>
    <row r="1" spans="1:50" x14ac:dyDescent="0.2">
      <c r="A1" s="635" t="s">
        <v>1984</v>
      </c>
      <c r="S1" s="635" t="s">
        <v>1762</v>
      </c>
      <c r="AK1" s="635" t="s">
        <v>1763</v>
      </c>
    </row>
    <row r="2" spans="1:50" x14ac:dyDescent="0.2">
      <c r="AK2" s="756" t="s">
        <v>1647</v>
      </c>
      <c r="AL2" s="630" t="s">
        <v>1648</v>
      </c>
      <c r="AM2" s="630" t="s">
        <v>1649</v>
      </c>
      <c r="AN2" s="630" t="s">
        <v>1650</v>
      </c>
      <c r="AO2" s="630" t="s">
        <v>1651</v>
      </c>
      <c r="AP2" s="630" t="s">
        <v>1652</v>
      </c>
      <c r="AQ2" s="630" t="s">
        <v>1653</v>
      </c>
      <c r="AR2" s="630" t="s">
        <v>1654</v>
      </c>
      <c r="AS2" s="630" t="s">
        <v>1655</v>
      </c>
      <c r="AT2" s="630" t="s">
        <v>1656</v>
      </c>
      <c r="AU2" s="630" t="s">
        <v>1657</v>
      </c>
      <c r="AV2" s="630" t="s">
        <v>1659</v>
      </c>
      <c r="AW2" s="630"/>
      <c r="AX2" s="630"/>
    </row>
    <row r="3" spans="1:50" x14ac:dyDescent="0.2">
      <c r="A3" s="659" t="s">
        <v>1761</v>
      </c>
      <c r="B3" s="660" t="s">
        <v>2049</v>
      </c>
      <c r="C3" s="660" t="s">
        <v>2050</v>
      </c>
      <c r="D3" s="660" t="s">
        <v>2051</v>
      </c>
      <c r="E3" s="660" t="s">
        <v>2052</v>
      </c>
      <c r="F3" s="660" t="s">
        <v>2053</v>
      </c>
      <c r="G3" s="660" t="s">
        <v>2054</v>
      </c>
      <c r="H3" s="660" t="s">
        <v>2055</v>
      </c>
      <c r="I3" s="660" t="s">
        <v>2056</v>
      </c>
      <c r="J3" s="660" t="s">
        <v>2057</v>
      </c>
      <c r="K3" s="660" t="s">
        <v>2058</v>
      </c>
      <c r="L3" s="660" t="s">
        <v>2059</v>
      </c>
      <c r="M3" s="660" t="s">
        <v>2060</v>
      </c>
      <c r="N3" s="660" t="s">
        <v>1765</v>
      </c>
      <c r="O3" s="660" t="s">
        <v>1766</v>
      </c>
      <c r="P3" s="660" t="s">
        <v>2061</v>
      </c>
      <c r="AK3" s="630" t="s">
        <v>973</v>
      </c>
      <c r="AL3" s="630" t="s">
        <v>1660</v>
      </c>
      <c r="AM3" s="630" t="s">
        <v>1660</v>
      </c>
      <c r="AN3" s="630" t="s">
        <v>1660</v>
      </c>
      <c r="AO3" s="630" t="s">
        <v>1660</v>
      </c>
      <c r="AP3" s="630" t="s">
        <v>1660</v>
      </c>
      <c r="AQ3" s="630" t="s">
        <v>1660</v>
      </c>
      <c r="AR3" s="630" t="s">
        <v>1660</v>
      </c>
      <c r="AS3" s="630" t="s">
        <v>1660</v>
      </c>
      <c r="AT3" s="630" t="s">
        <v>1660</v>
      </c>
      <c r="AU3" s="630" t="s">
        <v>1660</v>
      </c>
      <c r="AV3" s="630" t="s">
        <v>1660</v>
      </c>
      <c r="AW3" s="630"/>
      <c r="AX3" s="630"/>
    </row>
    <row r="4" spans="1:50" x14ac:dyDescent="0.2">
      <c r="A4" s="659" t="s">
        <v>1661</v>
      </c>
      <c r="B4" s="660" t="s">
        <v>1660</v>
      </c>
      <c r="C4" s="660" t="s">
        <v>1660</v>
      </c>
      <c r="D4" s="660" t="s">
        <v>1660</v>
      </c>
      <c r="E4" s="660" t="s">
        <v>1660</v>
      </c>
      <c r="F4" s="660" t="s">
        <v>1660</v>
      </c>
      <c r="G4" s="660" t="s">
        <v>1660</v>
      </c>
      <c r="H4" s="660" t="s">
        <v>1660</v>
      </c>
      <c r="I4" s="660" t="s">
        <v>1660</v>
      </c>
      <c r="J4" s="660" t="s">
        <v>1660</v>
      </c>
      <c r="K4" s="660" t="s">
        <v>1660</v>
      </c>
      <c r="L4" s="660" t="s">
        <v>1660</v>
      </c>
      <c r="M4" s="660" t="s">
        <v>1660</v>
      </c>
      <c r="N4" s="660" t="s">
        <v>1660</v>
      </c>
      <c r="O4" s="660" t="s">
        <v>1660</v>
      </c>
      <c r="P4" s="660" t="s">
        <v>1660</v>
      </c>
      <c r="AK4" s="630" t="s">
        <v>1661</v>
      </c>
      <c r="AL4" s="664" t="s">
        <v>1637</v>
      </c>
      <c r="AM4" s="664" t="s">
        <v>1637</v>
      </c>
      <c r="AN4" s="664" t="s">
        <v>1637</v>
      </c>
      <c r="AO4" s="664" t="s">
        <v>1637</v>
      </c>
      <c r="AP4" s="664" t="s">
        <v>1637</v>
      </c>
      <c r="AQ4" s="664" t="s">
        <v>1637</v>
      </c>
      <c r="AR4" s="664" t="s">
        <v>1637</v>
      </c>
      <c r="AS4" s="630" t="s">
        <v>1637</v>
      </c>
      <c r="AT4" s="630" t="s">
        <v>1637</v>
      </c>
      <c r="AU4" s="630" t="s">
        <v>1637</v>
      </c>
      <c r="AV4" s="630" t="s">
        <v>1637</v>
      </c>
      <c r="AW4" s="630"/>
      <c r="AX4" s="630"/>
    </row>
    <row r="5" spans="1:50" x14ac:dyDescent="0.2">
      <c r="A5" s="639" t="s">
        <v>857</v>
      </c>
      <c r="B5" s="637"/>
      <c r="C5" s="637"/>
      <c r="D5" s="637"/>
      <c r="E5" s="637"/>
      <c r="F5" s="637"/>
      <c r="G5" s="637"/>
      <c r="H5" s="637"/>
      <c r="I5" s="637"/>
      <c r="J5" s="637"/>
      <c r="K5" s="637"/>
      <c r="L5" s="637"/>
      <c r="M5" s="637"/>
      <c r="N5" s="637"/>
      <c r="O5" s="637"/>
      <c r="P5" s="637"/>
      <c r="AK5" s="665" t="s">
        <v>857</v>
      </c>
      <c r="AL5" s="663"/>
      <c r="AM5" s="663"/>
      <c r="AN5" s="663"/>
      <c r="AO5" s="663"/>
      <c r="AP5" s="663"/>
      <c r="AQ5" s="663"/>
      <c r="AR5" s="663"/>
    </row>
    <row r="6" spans="1:50" x14ac:dyDescent="0.2">
      <c r="A6" s="656" t="s">
        <v>856</v>
      </c>
      <c r="B6" s="637">
        <v>103916159.36</v>
      </c>
      <c r="C6" s="637">
        <v>65811359.329999998</v>
      </c>
      <c r="D6" s="637">
        <v>54021886.549999997</v>
      </c>
      <c r="E6" s="637">
        <v>53915393.590000004</v>
      </c>
      <c r="F6" s="637">
        <v>54068912.409999996</v>
      </c>
      <c r="G6" s="637">
        <v>54021677.140000001</v>
      </c>
      <c r="H6" s="637">
        <v>52936326.509999998</v>
      </c>
      <c r="I6" s="637">
        <v>57148825</v>
      </c>
      <c r="J6" s="637">
        <v>57402990</v>
      </c>
      <c r="K6" s="637">
        <v>57123380</v>
      </c>
      <c r="L6" s="637">
        <v>55789585</v>
      </c>
      <c r="M6" s="637">
        <v>67955448.609999999</v>
      </c>
      <c r="N6" s="637">
        <v>-104179930.09999999</v>
      </c>
      <c r="O6" s="637">
        <v>770817203.5</v>
      </c>
      <c r="P6" s="637">
        <v>924225768.5</v>
      </c>
      <c r="AK6" s="666" t="s">
        <v>856</v>
      </c>
      <c r="AL6" s="663">
        <v>48028416.329999998</v>
      </c>
      <c r="AM6" s="663">
        <v>51509452.270000003</v>
      </c>
      <c r="AN6" s="663">
        <v>50720177.07</v>
      </c>
      <c r="AO6" s="663">
        <v>51294909.869999997</v>
      </c>
      <c r="AP6" s="663">
        <v>52141063.079999998</v>
      </c>
      <c r="AQ6" s="663">
        <v>56876129.329999998</v>
      </c>
      <c r="AR6" s="663">
        <v>50159829.770000003</v>
      </c>
      <c r="AS6">
        <v>54116066.32</v>
      </c>
      <c r="AT6">
        <v>54312524.200000003</v>
      </c>
      <c r="AU6">
        <v>49443840.009999998</v>
      </c>
      <c r="AV6">
        <v>518602408.25</v>
      </c>
    </row>
    <row r="7" spans="1:50" x14ac:dyDescent="0.2">
      <c r="A7" s="656" t="s">
        <v>1662</v>
      </c>
      <c r="B7" s="637">
        <v>199691376.15000001</v>
      </c>
      <c r="C7" s="637">
        <v>268367001.84999999</v>
      </c>
      <c r="D7" s="637">
        <v>259448266.41</v>
      </c>
      <c r="E7" s="637">
        <v>180700610.96000001</v>
      </c>
      <c r="F7" s="637">
        <v>197901063.81999999</v>
      </c>
      <c r="G7" s="637">
        <v>208410104.61000001</v>
      </c>
      <c r="H7" s="637">
        <v>188763251.16999999</v>
      </c>
      <c r="I7" s="637">
        <v>220868321.5</v>
      </c>
      <c r="J7" s="637">
        <v>121028570.25</v>
      </c>
      <c r="K7" s="637">
        <v>225200848.75</v>
      </c>
      <c r="L7" s="637">
        <v>249573868.25</v>
      </c>
      <c r="M7" s="637">
        <v>245735661.03999999</v>
      </c>
      <c r="N7" s="637"/>
      <c r="O7" s="637">
        <v>3022947937</v>
      </c>
      <c r="P7" s="637">
        <v>3291990373.75</v>
      </c>
      <c r="AK7" s="666" t="s">
        <v>1662</v>
      </c>
      <c r="AL7" s="663">
        <v>178022865.13</v>
      </c>
      <c r="AM7" s="663">
        <v>262812454.75</v>
      </c>
      <c r="AN7" s="663">
        <v>238772428.94999999</v>
      </c>
      <c r="AO7" s="663">
        <v>219217913.62</v>
      </c>
      <c r="AP7" s="663">
        <v>150590722.72999999</v>
      </c>
      <c r="AQ7" s="663">
        <v>211161415.16999999</v>
      </c>
      <c r="AR7" s="663">
        <v>181465835.5</v>
      </c>
      <c r="AS7">
        <v>185917833.22999999</v>
      </c>
      <c r="AT7">
        <v>183332463.72999999</v>
      </c>
      <c r="AU7">
        <v>189840280.69999999</v>
      </c>
      <c r="AV7">
        <v>2001134213.51</v>
      </c>
    </row>
    <row r="8" spans="1:50" x14ac:dyDescent="0.2">
      <c r="A8" s="656" t="s">
        <v>1663</v>
      </c>
      <c r="B8" s="637">
        <v>43623095.090000004</v>
      </c>
      <c r="C8" s="637">
        <v>51223442.100000001</v>
      </c>
      <c r="D8" s="637">
        <v>53370950</v>
      </c>
      <c r="E8" s="637">
        <v>50697546.799999997</v>
      </c>
      <c r="F8" s="637">
        <v>54152851.280000001</v>
      </c>
      <c r="G8" s="637">
        <v>47709232.020000003</v>
      </c>
      <c r="H8" s="637">
        <v>49006440</v>
      </c>
      <c r="I8" s="637">
        <v>51435953.5</v>
      </c>
      <c r="J8" s="637">
        <v>61504264.75</v>
      </c>
      <c r="K8" s="637">
        <v>49268250</v>
      </c>
      <c r="L8" s="637">
        <v>59764670.799999997</v>
      </c>
      <c r="M8" s="637">
        <v>56988033.159999996</v>
      </c>
      <c r="N8" s="637">
        <v>-30777200</v>
      </c>
      <c r="O8" s="637">
        <v>742567056</v>
      </c>
      <c r="P8" s="637">
        <v>815106493.25</v>
      </c>
      <c r="AK8" s="666" t="s">
        <v>1663</v>
      </c>
      <c r="AL8" s="663">
        <v>36597824.32</v>
      </c>
      <c r="AM8" s="663">
        <v>31310200.620000001</v>
      </c>
      <c r="AN8" s="663">
        <v>43124444.210000001</v>
      </c>
      <c r="AO8" s="663">
        <v>50693235.799999997</v>
      </c>
      <c r="AP8" s="663">
        <v>36582613.990000002</v>
      </c>
      <c r="AQ8" s="663">
        <v>39773777.700000003</v>
      </c>
      <c r="AR8" s="663">
        <v>43448408.979999997</v>
      </c>
      <c r="AS8">
        <v>39304024.909999996</v>
      </c>
      <c r="AT8">
        <v>38336639.719999999</v>
      </c>
      <c r="AU8">
        <v>40252078.399999999</v>
      </c>
      <c r="AV8">
        <v>399423248.64999998</v>
      </c>
    </row>
    <row r="9" spans="1:50" x14ac:dyDescent="0.2">
      <c r="A9" s="656" t="s">
        <v>1664</v>
      </c>
      <c r="B9" s="637">
        <v>11659756.560000001</v>
      </c>
      <c r="C9" s="637">
        <v>11999741.82</v>
      </c>
      <c r="D9" s="637">
        <v>12039969.560000001</v>
      </c>
      <c r="E9" s="637">
        <v>12224572.65</v>
      </c>
      <c r="F9" s="637">
        <v>12099033.130000001</v>
      </c>
      <c r="G9" s="637">
        <v>11840574.949999999</v>
      </c>
      <c r="H9" s="637">
        <v>12109143.74</v>
      </c>
      <c r="I9" s="637">
        <v>13487240.25</v>
      </c>
      <c r="J9" s="637">
        <v>11375219.25</v>
      </c>
      <c r="K9" s="637">
        <v>13935711.5</v>
      </c>
      <c r="L9" s="637">
        <v>11026493.25</v>
      </c>
      <c r="M9" s="637">
        <v>10720191.359999999</v>
      </c>
      <c r="N9" s="637"/>
      <c r="O9" s="637">
        <v>151743770.75</v>
      </c>
      <c r="P9" s="637">
        <v>159331074</v>
      </c>
      <c r="AK9" s="666" t="s">
        <v>1664</v>
      </c>
      <c r="AL9" s="663">
        <v>10607196.539999999</v>
      </c>
      <c r="AM9" s="663">
        <v>10450898.49</v>
      </c>
      <c r="AN9" s="663">
        <v>10086936.02</v>
      </c>
      <c r="AO9" s="663">
        <v>10778020.640000001</v>
      </c>
      <c r="AP9" s="663">
        <v>10139683.49</v>
      </c>
      <c r="AQ9" s="663">
        <v>11041251.82</v>
      </c>
      <c r="AR9" s="663">
        <v>10406219.710000001</v>
      </c>
      <c r="AS9">
        <v>10268020.93</v>
      </c>
      <c r="AT9">
        <v>10855401.289999999</v>
      </c>
      <c r="AU9">
        <v>9974232.7100000009</v>
      </c>
      <c r="AV9">
        <v>104607861.64</v>
      </c>
    </row>
    <row r="10" spans="1:50" x14ac:dyDescent="0.2">
      <c r="A10" s="656" t="s">
        <v>1665</v>
      </c>
      <c r="B10" s="637">
        <v>5158299.6900000004</v>
      </c>
      <c r="C10" s="637">
        <v>5320227.7699999996</v>
      </c>
      <c r="D10" s="637">
        <v>4566489.12</v>
      </c>
      <c r="E10" s="637">
        <v>5856166.0599999996</v>
      </c>
      <c r="F10" s="637">
        <v>5228399.28</v>
      </c>
      <c r="G10" s="637">
        <v>5214106.97</v>
      </c>
      <c r="H10" s="637">
        <v>5199967.0999999996</v>
      </c>
      <c r="I10" s="637">
        <v>10689238.5</v>
      </c>
      <c r="J10" s="637">
        <v>11015240.5</v>
      </c>
      <c r="K10" s="637">
        <v>11225765.25</v>
      </c>
      <c r="L10" s="637">
        <v>10514329.25</v>
      </c>
      <c r="M10" s="637">
        <v>51550846.270000003</v>
      </c>
      <c r="N10" s="637"/>
      <c r="O10" s="637">
        <v>138116144.25</v>
      </c>
      <c r="P10" s="637">
        <v>145021836.75</v>
      </c>
      <c r="AK10" s="666" t="s">
        <v>1665</v>
      </c>
      <c r="AL10" s="663">
        <v>5478456.3799999999</v>
      </c>
      <c r="AM10" s="663">
        <v>4117139.9</v>
      </c>
      <c r="AN10" s="663">
        <v>3827036.96</v>
      </c>
      <c r="AO10" s="663">
        <v>3579415.41</v>
      </c>
      <c r="AP10" s="663">
        <v>3709678.67</v>
      </c>
      <c r="AQ10" s="663">
        <v>4153187.61</v>
      </c>
      <c r="AR10" s="663">
        <v>3629048.08</v>
      </c>
      <c r="AS10">
        <v>4050159.66</v>
      </c>
      <c r="AT10">
        <v>3686474.92</v>
      </c>
      <c r="AU10">
        <v>3146216.06</v>
      </c>
      <c r="AV10">
        <v>39376813.649999999</v>
      </c>
    </row>
    <row r="11" spans="1:50" x14ac:dyDescent="0.2">
      <c r="A11" s="656" t="s">
        <v>888</v>
      </c>
      <c r="B11" s="637">
        <v>1880767.36</v>
      </c>
      <c r="C11" s="637">
        <v>1627588.91</v>
      </c>
      <c r="D11" s="637">
        <v>5574240.1900000004</v>
      </c>
      <c r="E11" s="637">
        <v>7809993.1299999999</v>
      </c>
      <c r="F11" s="637">
        <v>-2921140.51</v>
      </c>
      <c r="G11" s="637">
        <v>928524.32</v>
      </c>
      <c r="H11" s="637">
        <v>1487589.34</v>
      </c>
      <c r="I11" s="637">
        <v>1505149.03</v>
      </c>
      <c r="J11" s="637">
        <v>1542064.03</v>
      </c>
      <c r="K11" s="637">
        <v>1361514.03</v>
      </c>
      <c r="L11" s="637">
        <v>1623944.03</v>
      </c>
      <c r="M11" s="637">
        <v>-3434441.58</v>
      </c>
      <c r="N11" s="637">
        <v>18921123.149999999</v>
      </c>
      <c r="O11" s="637">
        <v>26150191</v>
      </c>
      <c r="P11" s="637">
        <v>27457833</v>
      </c>
      <c r="AK11" s="666" t="s">
        <v>888</v>
      </c>
      <c r="AL11" s="663">
        <v>829980.51</v>
      </c>
      <c r="AM11" s="663">
        <v>1858395.8</v>
      </c>
      <c r="AN11" s="663">
        <v>3798238.86</v>
      </c>
      <c r="AO11" s="663">
        <v>6668165.2699999996</v>
      </c>
      <c r="AP11" s="663">
        <v>793447.42</v>
      </c>
      <c r="AQ11" s="663">
        <v>477925.49</v>
      </c>
      <c r="AR11" s="663">
        <v>13778342.289999999</v>
      </c>
      <c r="AS11">
        <v>1035722.49</v>
      </c>
      <c r="AT11">
        <v>670555.91</v>
      </c>
      <c r="AU11">
        <v>724370.5</v>
      </c>
      <c r="AV11">
        <v>30635144.539999999</v>
      </c>
    </row>
    <row r="12" spans="1:50" x14ac:dyDescent="0.2">
      <c r="A12" s="656" t="s">
        <v>1350</v>
      </c>
      <c r="B12" s="637">
        <v>-1102333.79</v>
      </c>
      <c r="C12" s="637">
        <v>7059062.2999999998</v>
      </c>
      <c r="D12" s="637">
        <v>2397790.4700000002</v>
      </c>
      <c r="E12" s="637">
        <v>3620217.55</v>
      </c>
      <c r="F12" s="637">
        <v>3384050.29</v>
      </c>
      <c r="G12" s="637">
        <v>2976394.45</v>
      </c>
      <c r="H12" s="637">
        <v>2488491.42</v>
      </c>
      <c r="I12" s="637">
        <v>3750000</v>
      </c>
      <c r="J12" s="637">
        <v>3750000</v>
      </c>
      <c r="K12" s="637">
        <v>3750000</v>
      </c>
      <c r="L12" s="637">
        <v>3750000</v>
      </c>
      <c r="M12" s="637">
        <v>9176327.3100000005</v>
      </c>
      <c r="N12" s="637">
        <v>45000000</v>
      </c>
      <c r="O12" s="637">
        <v>50000000</v>
      </c>
      <c r="P12" s="637">
        <v>55000000</v>
      </c>
      <c r="AK12" s="666" t="s">
        <v>1350</v>
      </c>
      <c r="AL12" s="663">
        <v>2478271.64</v>
      </c>
      <c r="AM12" s="663">
        <v>1606493.38</v>
      </c>
      <c r="AN12" s="663">
        <v>705249.82</v>
      </c>
      <c r="AO12" s="663">
        <v>6247314.8899999997</v>
      </c>
      <c r="AP12" s="663">
        <v>1372190.06</v>
      </c>
      <c r="AQ12" s="663">
        <v>1399618.7</v>
      </c>
      <c r="AR12" s="663">
        <v>1404355.77</v>
      </c>
      <c r="AS12">
        <v>319100.12</v>
      </c>
      <c r="AT12">
        <v>1395165.46</v>
      </c>
      <c r="AU12">
        <v>3102439.02</v>
      </c>
      <c r="AV12">
        <v>20030198.859999999</v>
      </c>
    </row>
    <row r="13" spans="1:50" x14ac:dyDescent="0.2">
      <c r="A13" s="656" t="s">
        <v>1351</v>
      </c>
      <c r="B13" s="637">
        <v>9914.99</v>
      </c>
      <c r="C13" s="637">
        <v>9784.0300000000007</v>
      </c>
      <c r="D13" s="637">
        <v>-19568.05</v>
      </c>
      <c r="E13" s="637"/>
      <c r="F13" s="637"/>
      <c r="G13" s="637">
        <v>1339.95</v>
      </c>
      <c r="H13" s="637">
        <v>447.47</v>
      </c>
      <c r="I13" s="637"/>
      <c r="J13" s="637"/>
      <c r="K13" s="637"/>
      <c r="L13" s="637"/>
      <c r="M13" s="637">
        <v>24541.61</v>
      </c>
      <c r="N13" s="637">
        <v>27342</v>
      </c>
      <c r="O13" s="637">
        <v>27810</v>
      </c>
      <c r="P13" s="637">
        <v>29160</v>
      </c>
      <c r="AK13" s="666" t="s">
        <v>1351</v>
      </c>
      <c r="AL13" s="663">
        <v>128297.48</v>
      </c>
      <c r="AM13" s="663">
        <v>92231</v>
      </c>
      <c r="AN13" s="663">
        <v>48402.19</v>
      </c>
      <c r="AO13" s="663">
        <v>85382.07</v>
      </c>
      <c r="AP13" s="663">
        <v>91247.039999999994</v>
      </c>
      <c r="AQ13" s="663">
        <v>140397.31</v>
      </c>
      <c r="AR13" s="663">
        <v>101855.32</v>
      </c>
      <c r="AS13">
        <v>78234.880000000005</v>
      </c>
      <c r="AT13">
        <v>81630.8</v>
      </c>
      <c r="AU13">
        <v>68838.86</v>
      </c>
      <c r="AV13">
        <v>916516.95</v>
      </c>
    </row>
    <row r="14" spans="1:50" x14ac:dyDescent="0.2">
      <c r="A14" s="656" t="s">
        <v>1352</v>
      </c>
      <c r="B14" s="637"/>
      <c r="C14" s="637"/>
      <c r="D14" s="637"/>
      <c r="E14" s="637"/>
      <c r="F14" s="637"/>
      <c r="G14" s="637"/>
      <c r="H14" s="637"/>
      <c r="I14" s="637"/>
      <c r="J14" s="637"/>
      <c r="K14" s="637"/>
      <c r="L14" s="637"/>
      <c r="M14" s="637"/>
      <c r="N14" s="637"/>
      <c r="O14" s="637"/>
      <c r="P14" s="637"/>
      <c r="AK14" s="666" t="s">
        <v>1352</v>
      </c>
      <c r="AL14" s="663"/>
      <c r="AM14" s="663"/>
      <c r="AN14" s="663"/>
      <c r="AO14" s="663"/>
      <c r="AP14" s="663"/>
      <c r="AQ14" s="663"/>
      <c r="AR14" s="663"/>
    </row>
    <row r="15" spans="1:50" x14ac:dyDescent="0.2">
      <c r="A15" s="656" t="s">
        <v>1023</v>
      </c>
      <c r="B15" s="637">
        <v>59045.83</v>
      </c>
      <c r="C15" s="637">
        <v>204610.85</v>
      </c>
      <c r="D15" s="637">
        <v>52161.62</v>
      </c>
      <c r="E15" s="637">
        <v>42001.82</v>
      </c>
      <c r="F15" s="637">
        <v>11673.39</v>
      </c>
      <c r="G15" s="637">
        <v>230353.19</v>
      </c>
      <c r="H15" s="637">
        <v>-83588.14</v>
      </c>
      <c r="I15" s="637">
        <v>30131.5</v>
      </c>
      <c r="J15" s="637">
        <v>42593</v>
      </c>
      <c r="K15" s="637">
        <v>118061.5</v>
      </c>
      <c r="L15" s="637">
        <v>58586.5</v>
      </c>
      <c r="M15" s="637">
        <v>32083.919999999998</v>
      </c>
      <c r="N15" s="637">
        <v>797715</v>
      </c>
      <c r="O15" s="637">
        <v>1842525</v>
      </c>
      <c r="P15" s="637">
        <v>1842525</v>
      </c>
      <c r="AK15" s="666" t="s">
        <v>1023</v>
      </c>
      <c r="AL15" s="663">
        <v>182095.79</v>
      </c>
      <c r="AM15" s="663">
        <v>113130.25</v>
      </c>
      <c r="AN15" s="663">
        <v>145613.71</v>
      </c>
      <c r="AO15" s="663">
        <v>160430.69</v>
      </c>
      <c r="AP15" s="663">
        <v>262939.65000000002</v>
      </c>
      <c r="AQ15" s="663">
        <v>343629.3</v>
      </c>
      <c r="AR15" s="663">
        <v>166367.23000000001</v>
      </c>
      <c r="AS15">
        <v>154313.29</v>
      </c>
      <c r="AT15">
        <v>136132.63</v>
      </c>
      <c r="AU15">
        <v>220605.4</v>
      </c>
      <c r="AV15">
        <v>1885257.94</v>
      </c>
    </row>
    <row r="16" spans="1:50" x14ac:dyDescent="0.2">
      <c r="A16" s="656" t="s">
        <v>1353</v>
      </c>
      <c r="B16" s="637"/>
      <c r="C16" s="637"/>
      <c r="D16" s="637"/>
      <c r="E16" s="637"/>
      <c r="F16" s="637"/>
      <c r="G16" s="637"/>
      <c r="H16" s="637"/>
      <c r="I16" s="637"/>
      <c r="J16" s="637"/>
      <c r="K16" s="637"/>
      <c r="L16" s="637"/>
      <c r="M16" s="637"/>
      <c r="N16" s="637"/>
      <c r="O16" s="637"/>
      <c r="P16" s="637"/>
      <c r="AK16" s="666" t="s">
        <v>1353</v>
      </c>
      <c r="AL16" s="663"/>
      <c r="AM16" s="663"/>
      <c r="AN16" s="663"/>
      <c r="AO16" s="663"/>
      <c r="AP16" s="663"/>
      <c r="AQ16" s="663"/>
      <c r="AR16" s="663">
        <v>0</v>
      </c>
      <c r="AV16">
        <v>0</v>
      </c>
    </row>
    <row r="17" spans="1:48" x14ac:dyDescent="0.2">
      <c r="A17" s="656" t="s">
        <v>533</v>
      </c>
      <c r="B17" s="637">
        <v>956202.78</v>
      </c>
      <c r="C17" s="637">
        <v>1307298.3899999999</v>
      </c>
      <c r="D17" s="637">
        <v>316572.18</v>
      </c>
      <c r="E17" s="637">
        <v>1333252.6499999999</v>
      </c>
      <c r="F17" s="637">
        <v>2583494.35</v>
      </c>
      <c r="G17" s="637">
        <v>210602.61</v>
      </c>
      <c r="H17" s="637">
        <v>1422738.53</v>
      </c>
      <c r="I17" s="637">
        <v>1207599</v>
      </c>
      <c r="J17" s="637">
        <v>1235084</v>
      </c>
      <c r="K17" s="637">
        <v>1194604</v>
      </c>
      <c r="L17" s="637">
        <v>1241064</v>
      </c>
      <c r="M17" s="637">
        <v>242707.51</v>
      </c>
      <c r="N17" s="637">
        <v>13251220</v>
      </c>
      <c r="O17" s="637">
        <v>13432820</v>
      </c>
      <c r="P17" s="637">
        <v>13623420</v>
      </c>
      <c r="AK17" s="666" t="s">
        <v>533</v>
      </c>
      <c r="AL17" s="663">
        <v>677221.9</v>
      </c>
      <c r="AM17" s="663">
        <v>975780.13</v>
      </c>
      <c r="AN17" s="663">
        <v>1069950.05</v>
      </c>
      <c r="AO17" s="663"/>
      <c r="AP17" s="663">
        <v>1076948.01</v>
      </c>
      <c r="AQ17" s="663"/>
      <c r="AR17" s="663">
        <v>1091991.46</v>
      </c>
      <c r="AS17">
        <v>1157325.1399999999</v>
      </c>
      <c r="AU17">
        <v>1920042.11</v>
      </c>
      <c r="AV17">
        <v>7969258.7999999998</v>
      </c>
    </row>
    <row r="18" spans="1:48" x14ac:dyDescent="0.2">
      <c r="A18" s="656" t="s">
        <v>1666</v>
      </c>
      <c r="B18" s="637">
        <v>233724222.38999999</v>
      </c>
      <c r="C18" s="637">
        <v>785867.59</v>
      </c>
      <c r="D18" s="637">
        <v>876094.79</v>
      </c>
      <c r="E18" s="637">
        <v>10859462.439999999</v>
      </c>
      <c r="F18" s="637">
        <v>769123</v>
      </c>
      <c r="G18" s="637">
        <v>186680406.33000001</v>
      </c>
      <c r="H18" s="637">
        <v>800194.91</v>
      </c>
      <c r="I18" s="637">
        <v>1063377.03</v>
      </c>
      <c r="J18" s="637">
        <v>158390977</v>
      </c>
      <c r="K18" s="637">
        <v>968177</v>
      </c>
      <c r="L18" s="637">
        <v>368177</v>
      </c>
      <c r="M18" s="637">
        <v>-2588879.48</v>
      </c>
      <c r="N18" s="637">
        <v>592697200</v>
      </c>
      <c r="O18" s="637">
        <v>613554600</v>
      </c>
      <c r="P18" s="637">
        <v>644094000</v>
      </c>
      <c r="AK18" s="666" t="s">
        <v>1666</v>
      </c>
      <c r="AL18" s="663">
        <v>231771000</v>
      </c>
      <c r="AM18" s="663">
        <v>3300213.04</v>
      </c>
      <c r="AN18" s="663">
        <v>296362.34000000003</v>
      </c>
      <c r="AO18" s="663">
        <v>12886000</v>
      </c>
      <c r="AP18" s="663">
        <v>1203000</v>
      </c>
      <c r="AQ18" s="663">
        <v>185920656.36000001</v>
      </c>
      <c r="AR18" s="663">
        <v>0</v>
      </c>
      <c r="AS18">
        <v>311327.73</v>
      </c>
      <c r="AT18">
        <v>140614336.50999999</v>
      </c>
      <c r="AU18">
        <v>261390.68</v>
      </c>
      <c r="AV18">
        <v>576564286.65999997</v>
      </c>
    </row>
    <row r="19" spans="1:48" x14ac:dyDescent="0.2">
      <c r="A19" s="656" t="s">
        <v>413</v>
      </c>
      <c r="B19" s="637">
        <v>1902382.88</v>
      </c>
      <c r="C19" s="637">
        <v>2822164.92</v>
      </c>
      <c r="D19" s="637">
        <v>4263242.22</v>
      </c>
      <c r="E19" s="637">
        <v>6499591.7400000002</v>
      </c>
      <c r="F19" s="637">
        <v>3661867.64</v>
      </c>
      <c r="G19" s="637">
        <v>2886433.6</v>
      </c>
      <c r="H19" s="637">
        <v>5702498.0199999996</v>
      </c>
      <c r="I19" s="637">
        <v>1329941.77</v>
      </c>
      <c r="J19" s="637">
        <v>1470984.61</v>
      </c>
      <c r="K19" s="637">
        <v>1522436.99</v>
      </c>
      <c r="L19" s="637">
        <v>1890117.55</v>
      </c>
      <c r="M19" s="637">
        <v>3603577.32</v>
      </c>
      <c r="N19" s="637">
        <v>36823325.119999997</v>
      </c>
      <c r="O19" s="637">
        <v>31278930.5</v>
      </c>
      <c r="P19" s="637">
        <v>32002165.5</v>
      </c>
      <c r="AK19" s="666" t="s">
        <v>413</v>
      </c>
      <c r="AL19" s="663">
        <v>118828833.22</v>
      </c>
      <c r="AM19" s="663">
        <v>55185643.189999998</v>
      </c>
      <c r="AN19" s="663">
        <v>91624123.180000007</v>
      </c>
      <c r="AO19" s="663">
        <v>92087726.859999999</v>
      </c>
      <c r="AP19" s="663">
        <v>91219890.950000003</v>
      </c>
      <c r="AQ19" s="663">
        <v>-14423213.85</v>
      </c>
      <c r="AR19" s="663">
        <v>52723951.5</v>
      </c>
      <c r="AS19">
        <v>53190168.299999997</v>
      </c>
      <c r="AT19">
        <v>40880418.390000001</v>
      </c>
      <c r="AU19">
        <v>66019245.340000004</v>
      </c>
      <c r="AV19">
        <v>647336787.08000004</v>
      </c>
    </row>
    <row r="20" spans="1:48" x14ac:dyDescent="0.2">
      <c r="A20" s="638" t="s">
        <v>858</v>
      </c>
      <c r="B20" s="637">
        <v>601478889.28999996</v>
      </c>
      <c r="C20" s="637">
        <v>416538149.86000001</v>
      </c>
      <c r="D20" s="637">
        <v>396908095.06</v>
      </c>
      <c r="E20" s="637">
        <v>333558809.38999999</v>
      </c>
      <c r="F20" s="637">
        <v>330939328.07999998</v>
      </c>
      <c r="G20" s="637">
        <v>521109750.13999999</v>
      </c>
      <c r="H20" s="637">
        <v>319833500.06999999</v>
      </c>
      <c r="I20" s="637">
        <v>362515777.07999998</v>
      </c>
      <c r="J20" s="637">
        <v>428757987.38999999</v>
      </c>
      <c r="K20" s="637">
        <v>365668749.01999998</v>
      </c>
      <c r="L20" s="637">
        <v>395600835.63</v>
      </c>
      <c r="M20" s="637">
        <v>440006097.05000001</v>
      </c>
      <c r="N20" s="637">
        <v>572560795.16999996</v>
      </c>
      <c r="O20" s="637">
        <v>5562478988</v>
      </c>
      <c r="P20" s="637">
        <v>6109724649.75</v>
      </c>
      <c r="AK20" s="667" t="s">
        <v>858</v>
      </c>
      <c r="AL20" s="663">
        <v>633630459.24000001</v>
      </c>
      <c r="AM20" s="663">
        <v>423332032.81999999</v>
      </c>
      <c r="AN20" s="663">
        <v>444218963.36000001</v>
      </c>
      <c r="AO20" s="663">
        <v>453698515.12</v>
      </c>
      <c r="AP20" s="663">
        <v>349183425.08999997</v>
      </c>
      <c r="AQ20" s="663">
        <v>496864774.94</v>
      </c>
      <c r="AR20" s="663">
        <v>358376205.61000001</v>
      </c>
      <c r="AS20">
        <v>349902297</v>
      </c>
      <c r="AT20">
        <v>474301743.56</v>
      </c>
      <c r="AU20">
        <v>364973579.79000002</v>
      </c>
      <c r="AV20">
        <v>4348481996.5299997</v>
      </c>
    </row>
    <row r="21" spans="1:48" x14ac:dyDescent="0.2">
      <c r="A21" s="639" t="s">
        <v>671</v>
      </c>
      <c r="B21" s="637"/>
      <c r="C21" s="637"/>
      <c r="D21" s="637"/>
      <c r="E21" s="637"/>
      <c r="F21" s="637"/>
      <c r="G21" s="637"/>
      <c r="H21" s="637"/>
      <c r="I21" s="637"/>
      <c r="J21" s="637"/>
      <c r="K21" s="637"/>
      <c r="L21" s="637"/>
      <c r="M21" s="637"/>
      <c r="N21" s="637"/>
      <c r="O21" s="637"/>
      <c r="P21" s="637"/>
      <c r="AK21" s="665" t="s">
        <v>671</v>
      </c>
      <c r="AL21" s="663"/>
      <c r="AM21" s="663"/>
      <c r="AN21" s="663"/>
      <c r="AO21" s="663"/>
      <c r="AP21" s="663"/>
      <c r="AQ21" s="663"/>
      <c r="AR21" s="663"/>
    </row>
    <row r="22" spans="1:48" x14ac:dyDescent="0.2">
      <c r="A22" s="656" t="s">
        <v>1302</v>
      </c>
      <c r="B22" s="637">
        <v>23861528.690000001</v>
      </c>
      <c r="C22" s="637">
        <v>29796338.170000002</v>
      </c>
      <c r="D22" s="637">
        <v>37359665.909999996</v>
      </c>
      <c r="E22" s="637">
        <v>14167808.390000001</v>
      </c>
      <c r="F22" s="637">
        <v>5068764.92</v>
      </c>
      <c r="G22" s="637">
        <v>25761015.84</v>
      </c>
      <c r="H22" s="637">
        <v>-2104903.44</v>
      </c>
      <c r="I22" s="637">
        <v>1155400</v>
      </c>
      <c r="J22" s="637">
        <v>37742674</v>
      </c>
      <c r="K22" s="637">
        <v>1155400</v>
      </c>
      <c r="L22" s="637">
        <v>18412823</v>
      </c>
      <c r="M22" s="637">
        <v>34631584.520000003</v>
      </c>
      <c r="N22" s="637">
        <v>219003000</v>
      </c>
      <c r="O22" s="637">
        <v>202524400</v>
      </c>
      <c r="P22" s="637">
        <v>227573000</v>
      </c>
      <c r="AK22" s="666" t="s">
        <v>1302</v>
      </c>
      <c r="AL22" s="663">
        <v>100289000</v>
      </c>
      <c r="AM22" s="663">
        <v>1500000</v>
      </c>
      <c r="AN22" s="663"/>
      <c r="AO22" s="663"/>
      <c r="AP22" s="663">
        <v>18000000</v>
      </c>
      <c r="AQ22" s="663">
        <v>47449000</v>
      </c>
      <c r="AR22" s="663">
        <v>2000000</v>
      </c>
      <c r="AT22">
        <v>35210000</v>
      </c>
      <c r="AV22">
        <v>204448000</v>
      </c>
    </row>
    <row r="23" spans="1:48" x14ac:dyDescent="0.2">
      <c r="A23" s="656" t="s">
        <v>1302</v>
      </c>
      <c r="B23" s="637"/>
      <c r="C23" s="637"/>
      <c r="D23" s="637"/>
      <c r="E23" s="637"/>
      <c r="F23" s="637"/>
      <c r="G23" s="637"/>
      <c r="H23" s="637"/>
      <c r="I23" s="637"/>
      <c r="J23" s="637"/>
      <c r="K23" s="637"/>
      <c r="L23" s="637"/>
      <c r="M23" s="637"/>
      <c r="N23" s="637"/>
      <c r="O23" s="637"/>
      <c r="P23" s="637"/>
      <c r="AK23" s="666" t="s">
        <v>1302</v>
      </c>
      <c r="AL23" s="663"/>
      <c r="AM23" s="663"/>
      <c r="AN23" s="663"/>
      <c r="AO23" s="663"/>
      <c r="AP23" s="663"/>
      <c r="AQ23" s="663"/>
      <c r="AR23" s="663"/>
    </row>
    <row r="24" spans="1:48" x14ac:dyDescent="0.2">
      <c r="A24" s="656" t="s">
        <v>1272</v>
      </c>
      <c r="B24" s="637"/>
      <c r="C24" s="637"/>
      <c r="D24" s="637"/>
      <c r="E24" s="637"/>
      <c r="F24" s="637"/>
      <c r="G24" s="637"/>
      <c r="H24" s="637"/>
      <c r="I24" s="637"/>
      <c r="J24" s="637"/>
      <c r="K24" s="637"/>
      <c r="L24" s="637"/>
      <c r="M24" s="637"/>
      <c r="N24" s="637"/>
      <c r="O24" s="637"/>
      <c r="P24" s="637"/>
      <c r="AK24" s="666" t="s">
        <v>1272</v>
      </c>
      <c r="AL24" s="663"/>
      <c r="AM24" s="663"/>
      <c r="AN24" s="663"/>
      <c r="AO24" s="663"/>
      <c r="AP24" s="663"/>
      <c r="AQ24" s="663"/>
      <c r="AR24" s="663">
        <v>0</v>
      </c>
      <c r="AV24">
        <v>0</v>
      </c>
    </row>
    <row r="25" spans="1:48" x14ac:dyDescent="0.2">
      <c r="A25" s="656" t="s">
        <v>831</v>
      </c>
      <c r="B25" s="637"/>
      <c r="C25" s="637"/>
      <c r="D25" s="637"/>
      <c r="E25" s="637"/>
      <c r="F25" s="637"/>
      <c r="G25" s="637"/>
      <c r="H25" s="637"/>
      <c r="I25" s="637"/>
      <c r="J25" s="637"/>
      <c r="K25" s="637"/>
      <c r="L25" s="637"/>
      <c r="M25" s="637"/>
      <c r="N25" s="637"/>
      <c r="O25" s="637"/>
      <c r="P25" s="637"/>
      <c r="AK25" s="666" t="s">
        <v>831</v>
      </c>
      <c r="AL25" s="663"/>
      <c r="AM25" s="663"/>
      <c r="AN25" s="663"/>
      <c r="AO25" s="663"/>
      <c r="AP25" s="663"/>
      <c r="AQ25" s="663"/>
      <c r="AR25" s="663"/>
    </row>
    <row r="26" spans="1:48" x14ac:dyDescent="0.2">
      <c r="A26" s="656" t="s">
        <v>883</v>
      </c>
      <c r="B26" s="637"/>
      <c r="C26" s="637"/>
      <c r="D26" s="637"/>
      <c r="E26" s="637"/>
      <c r="F26" s="637"/>
      <c r="G26" s="637">
        <v>200000000</v>
      </c>
      <c r="H26" s="637"/>
      <c r="I26" s="637"/>
      <c r="J26" s="637"/>
      <c r="K26" s="637"/>
      <c r="L26" s="637"/>
      <c r="M26" s="637">
        <v>180000000</v>
      </c>
      <c r="N26" s="637">
        <v>380000000</v>
      </c>
      <c r="O26" s="637">
        <v>360000000</v>
      </c>
      <c r="P26" s="637">
        <v>325000000</v>
      </c>
      <c r="AK26" s="666" t="s">
        <v>883</v>
      </c>
      <c r="AL26" s="663">
        <v>0</v>
      </c>
      <c r="AM26" s="663">
        <v>0</v>
      </c>
      <c r="AN26" s="663">
        <v>200000000</v>
      </c>
      <c r="AO26" s="663">
        <v>0</v>
      </c>
      <c r="AP26" s="663">
        <v>0</v>
      </c>
      <c r="AQ26" s="663">
        <v>0</v>
      </c>
      <c r="AR26" s="663">
        <v>180000000</v>
      </c>
      <c r="AS26">
        <v>0</v>
      </c>
      <c r="AT26">
        <v>0</v>
      </c>
      <c r="AU26">
        <v>0</v>
      </c>
      <c r="AV26">
        <v>380000000</v>
      </c>
    </row>
    <row r="27" spans="1:48" x14ac:dyDescent="0.2">
      <c r="A27" s="656" t="s">
        <v>54</v>
      </c>
      <c r="B27" s="637"/>
      <c r="C27" s="637"/>
      <c r="D27" s="637"/>
      <c r="E27" s="637"/>
      <c r="F27" s="637"/>
      <c r="G27" s="637"/>
      <c r="H27" s="637"/>
      <c r="I27" s="637"/>
      <c r="J27" s="637"/>
      <c r="K27" s="637"/>
      <c r="L27" s="637"/>
      <c r="M27" s="637"/>
      <c r="N27" s="637"/>
      <c r="O27" s="637"/>
      <c r="P27" s="637"/>
      <c r="AK27" s="666" t="s">
        <v>54</v>
      </c>
      <c r="AL27" s="663">
        <v>407851.22</v>
      </c>
      <c r="AM27" s="663">
        <v>-4832.91</v>
      </c>
      <c r="AN27" s="663">
        <v>101809.43</v>
      </c>
      <c r="AO27" s="663">
        <v>48294.2</v>
      </c>
      <c r="AP27" s="663">
        <v>136736.81</v>
      </c>
      <c r="AQ27" s="663">
        <v>30527.95</v>
      </c>
      <c r="AR27" s="663">
        <v>81604.59</v>
      </c>
      <c r="AS27">
        <v>62567.35</v>
      </c>
      <c r="AT27">
        <v>196318.32</v>
      </c>
      <c r="AU27">
        <v>88021.5</v>
      </c>
      <c r="AV27">
        <v>1148898.46</v>
      </c>
    </row>
    <row r="28" spans="1:48" x14ac:dyDescent="0.2">
      <c r="A28" s="656" t="s">
        <v>1269</v>
      </c>
      <c r="B28" s="637"/>
      <c r="C28" s="637"/>
      <c r="D28" s="637"/>
      <c r="E28" s="637"/>
      <c r="F28" s="637"/>
      <c r="G28" s="637"/>
      <c r="H28" s="637"/>
      <c r="I28" s="637"/>
      <c r="J28" s="637"/>
      <c r="K28" s="637"/>
      <c r="L28" s="637"/>
      <c r="M28" s="637"/>
      <c r="N28" s="637"/>
      <c r="O28" s="637"/>
      <c r="P28" s="637"/>
      <c r="AK28" s="666" t="s">
        <v>1269</v>
      </c>
      <c r="AL28" s="663"/>
      <c r="AM28" s="663"/>
      <c r="AN28" s="663"/>
      <c r="AO28" s="663"/>
      <c r="AP28" s="663"/>
      <c r="AQ28" s="663"/>
      <c r="AR28" s="663"/>
    </row>
    <row r="29" spans="1:48" x14ac:dyDescent="0.2">
      <c r="A29" s="656" t="s">
        <v>819</v>
      </c>
      <c r="B29" s="637"/>
      <c r="C29" s="637"/>
      <c r="D29" s="637"/>
      <c r="E29" s="637"/>
      <c r="F29" s="637"/>
      <c r="G29" s="637"/>
      <c r="H29" s="637"/>
      <c r="I29" s="637"/>
      <c r="J29" s="637"/>
      <c r="K29" s="637"/>
      <c r="L29" s="637"/>
      <c r="M29" s="637"/>
      <c r="N29" s="637"/>
      <c r="O29" s="637"/>
      <c r="P29" s="637"/>
      <c r="AK29" s="666" t="s">
        <v>819</v>
      </c>
      <c r="AL29" s="663"/>
      <c r="AM29" s="663"/>
      <c r="AN29" s="663"/>
      <c r="AO29" s="663"/>
      <c r="AP29" s="663"/>
      <c r="AQ29" s="663"/>
      <c r="AR29" s="663"/>
    </row>
    <row r="30" spans="1:48" x14ac:dyDescent="0.2">
      <c r="A30" s="638" t="s">
        <v>846</v>
      </c>
      <c r="B30" s="637">
        <v>625340417.98000002</v>
      </c>
      <c r="C30" s="637">
        <v>446334488.02999997</v>
      </c>
      <c r="D30" s="637">
        <v>434267760.97000003</v>
      </c>
      <c r="E30" s="637">
        <v>347726617.77999997</v>
      </c>
      <c r="F30" s="637">
        <v>336008093</v>
      </c>
      <c r="G30" s="637">
        <v>746870765.98000002</v>
      </c>
      <c r="H30" s="637">
        <v>317728596.63</v>
      </c>
      <c r="I30" s="637">
        <v>363671177.07999998</v>
      </c>
      <c r="J30" s="637">
        <v>466500661.38999999</v>
      </c>
      <c r="K30" s="637">
        <v>366824149.01999998</v>
      </c>
      <c r="L30" s="637">
        <v>414013658.63</v>
      </c>
      <c r="M30" s="637">
        <v>654637681.57000005</v>
      </c>
      <c r="N30" s="637">
        <v>1171563795.1700001</v>
      </c>
      <c r="O30" s="637">
        <v>6125003388</v>
      </c>
      <c r="P30" s="637">
        <v>6662297649.75</v>
      </c>
      <c r="AK30" s="667" t="s">
        <v>846</v>
      </c>
      <c r="AL30" s="663">
        <v>734327310.46000004</v>
      </c>
      <c r="AM30" s="663">
        <v>424827199.91000003</v>
      </c>
      <c r="AN30" s="663">
        <v>644320772.78999996</v>
      </c>
      <c r="AO30" s="663">
        <v>453746809.31999999</v>
      </c>
      <c r="AP30" s="663">
        <v>367320161.89999998</v>
      </c>
      <c r="AQ30" s="663">
        <v>544344302.88999999</v>
      </c>
      <c r="AR30" s="663">
        <v>540457810.20000005</v>
      </c>
      <c r="AS30">
        <v>349964864.35000002</v>
      </c>
      <c r="AT30">
        <v>509708061.88</v>
      </c>
      <c r="AU30">
        <v>365061601.29000002</v>
      </c>
      <c r="AV30">
        <v>4934078894.9899998</v>
      </c>
    </row>
    <row r="31" spans="1:48" x14ac:dyDescent="0.2">
      <c r="A31" s="639" t="s">
        <v>859</v>
      </c>
      <c r="B31" s="637"/>
      <c r="C31" s="637"/>
      <c r="D31" s="637"/>
      <c r="E31" s="637"/>
      <c r="F31" s="637"/>
      <c r="G31" s="637"/>
      <c r="H31" s="637"/>
      <c r="I31" s="637"/>
      <c r="J31" s="637"/>
      <c r="K31" s="637"/>
      <c r="L31" s="637"/>
      <c r="M31" s="637"/>
      <c r="N31" s="637"/>
      <c r="O31" s="637"/>
      <c r="P31" s="637"/>
      <c r="AK31" s="665" t="s">
        <v>859</v>
      </c>
      <c r="AL31" s="663"/>
      <c r="AM31" s="663"/>
      <c r="AN31" s="663"/>
      <c r="AO31" s="663"/>
      <c r="AP31" s="663"/>
      <c r="AQ31" s="663"/>
      <c r="AR31" s="663"/>
    </row>
    <row r="32" spans="1:48" x14ac:dyDescent="0.2">
      <c r="A32" s="656" t="s">
        <v>776</v>
      </c>
      <c r="B32" s="637">
        <v>86594021.989999995</v>
      </c>
      <c r="C32" s="637">
        <v>84186927.439999998</v>
      </c>
      <c r="D32" s="637">
        <v>84395805.540000007</v>
      </c>
      <c r="E32" s="637">
        <v>95568747.590000004</v>
      </c>
      <c r="F32" s="637">
        <v>89000730.519999996</v>
      </c>
      <c r="G32" s="637">
        <v>92939190.349999994</v>
      </c>
      <c r="H32" s="637">
        <v>89209716.650000006</v>
      </c>
      <c r="I32" s="637">
        <v>95164722.780000001</v>
      </c>
      <c r="J32" s="637">
        <v>96071822.780000001</v>
      </c>
      <c r="K32" s="637">
        <v>94459222.780000001</v>
      </c>
      <c r="L32" s="637">
        <v>95204422.780000001</v>
      </c>
      <c r="M32" s="637">
        <v>115486004.17</v>
      </c>
      <c r="N32" s="637">
        <v>781970054.51999998</v>
      </c>
      <c r="O32" s="637">
        <v>1239756660</v>
      </c>
      <c r="P32" s="637">
        <v>1301418315</v>
      </c>
      <c r="AK32" s="666" t="s">
        <v>776</v>
      </c>
      <c r="AL32" s="663">
        <v>93634403.629999995</v>
      </c>
      <c r="AM32" s="663">
        <v>89121721.030000001</v>
      </c>
      <c r="AN32" s="663">
        <v>89657692.420000002</v>
      </c>
      <c r="AO32" s="663">
        <v>100867588.54000001</v>
      </c>
      <c r="AP32" s="663">
        <v>96211475.060000002</v>
      </c>
      <c r="AQ32" s="663">
        <v>101786318.27</v>
      </c>
      <c r="AR32" s="663">
        <v>94434497.859999999</v>
      </c>
      <c r="AS32">
        <v>96100730.709999993</v>
      </c>
      <c r="AT32">
        <v>93302851.969999999</v>
      </c>
      <c r="AU32">
        <v>92613646.269999996</v>
      </c>
      <c r="AV32">
        <v>947730925.75999999</v>
      </c>
    </row>
    <row r="33" spans="1:48" x14ac:dyDescent="0.2">
      <c r="A33" s="656" t="s">
        <v>434</v>
      </c>
      <c r="B33" s="637">
        <v>4715243.0999999996</v>
      </c>
      <c r="C33" s="637">
        <v>4687446.66</v>
      </c>
      <c r="D33" s="637">
        <v>4589946.92</v>
      </c>
      <c r="E33" s="637">
        <v>5057109.43</v>
      </c>
      <c r="F33" s="637">
        <v>5771624.8899999997</v>
      </c>
      <c r="G33" s="637">
        <v>4840388.08</v>
      </c>
      <c r="H33" s="637">
        <v>4921802.88</v>
      </c>
      <c r="I33" s="637">
        <v>5652279.3700000001</v>
      </c>
      <c r="J33" s="637">
        <v>5681179.3700000001</v>
      </c>
      <c r="K33" s="637">
        <v>5787779.3700000001</v>
      </c>
      <c r="L33" s="637">
        <v>5681179.3700000001</v>
      </c>
      <c r="M33" s="637">
        <v>7239820.5599999996</v>
      </c>
      <c r="N33" s="637">
        <v>50053143.240000002</v>
      </c>
      <c r="O33" s="637">
        <v>65476200</v>
      </c>
      <c r="P33" s="637">
        <v>68787100</v>
      </c>
      <c r="AK33" s="666" t="s">
        <v>434</v>
      </c>
      <c r="AL33" s="663"/>
      <c r="AM33" s="663"/>
      <c r="AN33" s="663"/>
      <c r="AO33" s="663"/>
      <c r="AP33" s="663"/>
      <c r="AQ33" s="663"/>
      <c r="AR33" s="663">
        <v>30</v>
      </c>
      <c r="AV33">
        <v>30</v>
      </c>
    </row>
    <row r="34" spans="1:48" x14ac:dyDescent="0.2">
      <c r="A34" s="656" t="s">
        <v>1667</v>
      </c>
      <c r="B34" s="637">
        <v>16122835.1</v>
      </c>
      <c r="C34" s="637">
        <v>15005822.09</v>
      </c>
      <c r="D34" s="637">
        <v>14757537.85</v>
      </c>
      <c r="E34" s="637">
        <v>16834359.199999999</v>
      </c>
      <c r="F34" s="637">
        <v>16286394.550000001</v>
      </c>
      <c r="G34" s="637">
        <v>15950227.220000001</v>
      </c>
      <c r="H34" s="637">
        <v>15900189.35</v>
      </c>
      <c r="I34" s="637">
        <v>14259700</v>
      </c>
      <c r="J34" s="637">
        <v>14259700</v>
      </c>
      <c r="K34" s="637">
        <v>14259700</v>
      </c>
      <c r="L34" s="637">
        <v>14259700</v>
      </c>
      <c r="M34" s="637">
        <v>16949934.640000001</v>
      </c>
      <c r="N34" s="637">
        <v>178823500</v>
      </c>
      <c r="O34" s="637">
        <v>199420000</v>
      </c>
      <c r="P34" s="637">
        <v>214615700</v>
      </c>
      <c r="AK34" s="666" t="s">
        <v>1667</v>
      </c>
      <c r="AL34" s="663"/>
      <c r="AM34" s="663"/>
      <c r="AN34" s="663"/>
      <c r="AO34" s="663"/>
      <c r="AP34" s="663"/>
      <c r="AQ34" s="663">
        <v>94957175.890000001</v>
      </c>
      <c r="AR34" s="663"/>
      <c r="AV34">
        <v>94957175.890000001</v>
      </c>
    </row>
    <row r="35" spans="1:48" x14ac:dyDescent="0.2">
      <c r="A35" s="656" t="s">
        <v>845</v>
      </c>
      <c r="B35" s="637">
        <v>269753420.75</v>
      </c>
      <c r="C35" s="637">
        <v>227615353.02000001</v>
      </c>
      <c r="D35" s="637">
        <v>135526432.72999999</v>
      </c>
      <c r="E35" s="637">
        <v>155791405.19999999</v>
      </c>
      <c r="F35" s="637">
        <v>160284172.08000001</v>
      </c>
      <c r="G35" s="637">
        <v>143569745.96000001</v>
      </c>
      <c r="H35" s="637">
        <v>158301374.80000001</v>
      </c>
      <c r="I35" s="637">
        <v>163237555</v>
      </c>
      <c r="J35" s="637">
        <v>149728390</v>
      </c>
      <c r="K35" s="637">
        <v>145079745</v>
      </c>
      <c r="L35" s="637">
        <v>143978620</v>
      </c>
      <c r="M35" s="637">
        <v>219469320.44999999</v>
      </c>
      <c r="N35" s="637">
        <v>270304635</v>
      </c>
      <c r="O35" s="637">
        <v>2256773340</v>
      </c>
      <c r="P35" s="637">
        <v>2457626245</v>
      </c>
      <c r="AK35" s="666" t="s">
        <v>845</v>
      </c>
      <c r="AL35" s="663">
        <v>177494984.34999999</v>
      </c>
      <c r="AM35" s="663">
        <v>272581432.75</v>
      </c>
      <c r="AN35" s="663">
        <v>229782139.99000001</v>
      </c>
      <c r="AO35" s="663">
        <v>135423027.25999999</v>
      </c>
      <c r="AP35" s="663">
        <v>153385814.00999999</v>
      </c>
      <c r="AQ35" s="663">
        <v>159901050.38999999</v>
      </c>
      <c r="AR35" s="663">
        <v>145042346.77000001</v>
      </c>
      <c r="AS35">
        <v>158478923.44999999</v>
      </c>
      <c r="AT35">
        <v>151223010.83000001</v>
      </c>
      <c r="AU35">
        <v>163035927.69999999</v>
      </c>
      <c r="AV35">
        <v>1746348657.5</v>
      </c>
    </row>
    <row r="36" spans="1:48" x14ac:dyDescent="0.2">
      <c r="A36" s="656" t="s">
        <v>1277</v>
      </c>
      <c r="B36" s="637">
        <v>17640160.629999999</v>
      </c>
      <c r="C36" s="637">
        <v>14050022.01</v>
      </c>
      <c r="D36" s="637">
        <v>16264025.42</v>
      </c>
      <c r="E36" s="637">
        <v>15887946.27</v>
      </c>
      <c r="F36" s="637">
        <v>15412981.82</v>
      </c>
      <c r="G36" s="637">
        <v>16408749.6</v>
      </c>
      <c r="H36" s="637">
        <v>15441163.140000001</v>
      </c>
      <c r="I36" s="637">
        <v>7505100</v>
      </c>
      <c r="J36" s="637">
        <v>9171200</v>
      </c>
      <c r="K36" s="637">
        <v>7671700</v>
      </c>
      <c r="L36" s="637">
        <v>10126700</v>
      </c>
      <c r="M36" s="637">
        <v>-32034548.890000001</v>
      </c>
      <c r="N36" s="637">
        <v>113545200</v>
      </c>
      <c r="O36" s="637">
        <v>118881700</v>
      </c>
      <c r="P36" s="637">
        <v>124469100</v>
      </c>
      <c r="AK36" s="666" t="s">
        <v>1277</v>
      </c>
      <c r="AL36" s="663">
        <v>26062074.309999999</v>
      </c>
      <c r="AM36" s="663">
        <v>22661060.239999998</v>
      </c>
      <c r="AN36" s="663">
        <v>24442912.07</v>
      </c>
      <c r="AO36" s="663">
        <v>26882817.329999998</v>
      </c>
      <c r="AP36" s="663">
        <v>24086001.949999999</v>
      </c>
      <c r="AQ36" s="663">
        <v>24179393.800000001</v>
      </c>
      <c r="AR36" s="663">
        <v>25335565.399999999</v>
      </c>
      <c r="AS36">
        <v>23398809.32</v>
      </c>
      <c r="AT36">
        <v>24387262.91</v>
      </c>
      <c r="AU36">
        <v>24177019.91</v>
      </c>
      <c r="AV36">
        <v>245612917.24000001</v>
      </c>
    </row>
    <row r="37" spans="1:48" x14ac:dyDescent="0.2">
      <c r="A37" s="656" t="s">
        <v>1668</v>
      </c>
      <c r="B37" s="637">
        <v>11397597.699999999</v>
      </c>
      <c r="C37" s="637">
        <v>19106947.260000002</v>
      </c>
      <c r="D37" s="637">
        <v>22076705.870000001</v>
      </c>
      <c r="E37" s="637">
        <v>19464441.059999999</v>
      </c>
      <c r="F37" s="637">
        <v>22650336.359999999</v>
      </c>
      <c r="G37" s="637">
        <v>18176609.84</v>
      </c>
      <c r="H37" s="637">
        <v>13915407.529999999</v>
      </c>
      <c r="I37" s="637">
        <v>7309860</v>
      </c>
      <c r="J37" s="637">
        <v>10286175</v>
      </c>
      <c r="K37" s="637">
        <v>6417920</v>
      </c>
      <c r="L37" s="637">
        <v>9274149.6999999993</v>
      </c>
      <c r="M37" s="637">
        <v>39921844.850000001</v>
      </c>
      <c r="N37" s="637">
        <v>185190405</v>
      </c>
      <c r="O37" s="637">
        <v>219129050</v>
      </c>
      <c r="P37" s="637">
        <v>229572315</v>
      </c>
      <c r="AK37" s="666" t="s">
        <v>1668</v>
      </c>
      <c r="AL37" s="663"/>
      <c r="AM37" s="663"/>
      <c r="AN37" s="663"/>
      <c r="AO37" s="663"/>
      <c r="AP37" s="663"/>
      <c r="AQ37" s="663"/>
      <c r="AR37" s="663"/>
    </row>
    <row r="38" spans="1:48" x14ac:dyDescent="0.2">
      <c r="A38" s="656" t="s">
        <v>1669</v>
      </c>
      <c r="B38" s="637">
        <v>24672862.190000001</v>
      </c>
      <c r="C38" s="637">
        <v>82607580.299999997</v>
      </c>
      <c r="D38" s="637">
        <v>43217378.969999999</v>
      </c>
      <c r="E38" s="637">
        <v>48787334.869999997</v>
      </c>
      <c r="F38" s="637">
        <v>55455513.759999998</v>
      </c>
      <c r="G38" s="637">
        <v>62264813.369999997</v>
      </c>
      <c r="H38" s="637">
        <v>39121596.450000003</v>
      </c>
      <c r="I38" s="637">
        <v>39601297.420000002</v>
      </c>
      <c r="J38" s="637">
        <v>57413195.700000003</v>
      </c>
      <c r="K38" s="637">
        <v>45921475.700000003</v>
      </c>
      <c r="L38" s="637">
        <v>54354655.700000003</v>
      </c>
      <c r="M38" s="637">
        <v>124053505.81999999</v>
      </c>
      <c r="N38" s="637">
        <v>88258260</v>
      </c>
      <c r="O38" s="637">
        <v>536001085</v>
      </c>
      <c r="P38" s="637">
        <v>579822755</v>
      </c>
      <c r="AK38" s="666" t="s">
        <v>1669</v>
      </c>
      <c r="AL38" s="663"/>
      <c r="AM38" s="663"/>
      <c r="AN38" s="663"/>
      <c r="AO38" s="663"/>
      <c r="AP38" s="663"/>
      <c r="AQ38" s="663"/>
      <c r="AR38" s="663"/>
    </row>
    <row r="39" spans="1:48" x14ac:dyDescent="0.2">
      <c r="A39" s="656" t="s">
        <v>1670</v>
      </c>
      <c r="B39" s="637"/>
      <c r="C39" s="637"/>
      <c r="D39" s="637"/>
      <c r="E39" s="637"/>
      <c r="F39" s="637"/>
      <c r="G39" s="637"/>
      <c r="H39" s="637"/>
      <c r="I39" s="637"/>
      <c r="J39" s="637"/>
      <c r="K39" s="637"/>
      <c r="L39" s="637"/>
      <c r="M39" s="637"/>
      <c r="N39" s="637"/>
      <c r="O39" s="637"/>
      <c r="P39" s="637"/>
      <c r="AK39" s="666" t="s">
        <v>1670</v>
      </c>
      <c r="AL39" s="663"/>
      <c r="AM39" s="663"/>
      <c r="AN39" s="663"/>
      <c r="AO39" s="663"/>
      <c r="AP39" s="663"/>
      <c r="AQ39" s="663"/>
      <c r="AR39" s="663"/>
    </row>
    <row r="40" spans="1:48" x14ac:dyDescent="0.2">
      <c r="A40" s="656" t="s">
        <v>1671</v>
      </c>
      <c r="B40" s="637"/>
      <c r="C40" s="637">
        <v>40392</v>
      </c>
      <c r="D40" s="637">
        <v>100000</v>
      </c>
      <c r="E40" s="637">
        <v>100000</v>
      </c>
      <c r="F40" s="637">
        <v>38534.1</v>
      </c>
      <c r="G40" s="637"/>
      <c r="H40" s="637">
        <v>665465</v>
      </c>
      <c r="I40" s="637">
        <v>1004200</v>
      </c>
      <c r="J40" s="637">
        <v>510700</v>
      </c>
      <c r="K40" s="637">
        <v>478600</v>
      </c>
      <c r="L40" s="637">
        <v>196200</v>
      </c>
      <c r="M40" s="637">
        <v>3297908.9</v>
      </c>
      <c r="N40" s="637"/>
      <c r="O40" s="637">
        <v>7938400</v>
      </c>
      <c r="P40" s="637">
        <v>8311300</v>
      </c>
      <c r="AK40" s="666" t="s">
        <v>1671</v>
      </c>
      <c r="AL40" s="663"/>
      <c r="AM40" s="663"/>
      <c r="AN40" s="663"/>
      <c r="AO40" s="663"/>
      <c r="AP40" s="663"/>
      <c r="AQ40" s="663"/>
      <c r="AR40" s="663"/>
    </row>
    <row r="41" spans="1:48" x14ac:dyDescent="0.2">
      <c r="A41" s="656" t="s">
        <v>395</v>
      </c>
      <c r="B41" s="637">
        <v>31595079.649999999</v>
      </c>
      <c r="C41" s="637">
        <v>22196016.27</v>
      </c>
      <c r="D41" s="637">
        <v>20734020.649999999</v>
      </c>
      <c r="E41" s="637">
        <v>18419897.16</v>
      </c>
      <c r="F41" s="637">
        <v>19671347.359999999</v>
      </c>
      <c r="G41" s="637">
        <v>28462956.309999999</v>
      </c>
      <c r="H41" s="637">
        <v>19710081.800000001</v>
      </c>
      <c r="I41" s="637">
        <v>22102744.620000001</v>
      </c>
      <c r="J41" s="637">
        <v>22411164.620000001</v>
      </c>
      <c r="K41" s="637">
        <v>20711674.620000001</v>
      </c>
      <c r="L41" s="637">
        <v>22133584.620000001</v>
      </c>
      <c r="M41" s="637">
        <v>45058822.560000002</v>
      </c>
      <c r="N41" s="637">
        <v>65373580</v>
      </c>
      <c r="O41" s="637">
        <v>283053105</v>
      </c>
      <c r="P41" s="637">
        <v>296728800</v>
      </c>
      <c r="AK41" s="666" t="s">
        <v>395</v>
      </c>
      <c r="AL41" s="663">
        <v>126805761.47</v>
      </c>
      <c r="AM41" s="663">
        <v>135062271.34</v>
      </c>
      <c r="AN41" s="663">
        <v>85037463.469999999</v>
      </c>
      <c r="AO41" s="663">
        <v>106474487.81999999</v>
      </c>
      <c r="AP41" s="663">
        <v>103267809.81</v>
      </c>
      <c r="AQ41" s="663">
        <v>133811472.45</v>
      </c>
      <c r="AR41" s="663">
        <v>78877451.129999995</v>
      </c>
      <c r="AS41">
        <v>70873277.459999993</v>
      </c>
      <c r="AT41">
        <v>75953741.930000007</v>
      </c>
      <c r="AU41">
        <v>94830231.829999998</v>
      </c>
      <c r="AV41">
        <v>1010993968.71</v>
      </c>
    </row>
    <row r="42" spans="1:48" x14ac:dyDescent="0.2">
      <c r="A42" s="638" t="s">
        <v>859</v>
      </c>
      <c r="B42" s="637">
        <v>462491221.11000001</v>
      </c>
      <c r="C42" s="637">
        <v>469496507.05000001</v>
      </c>
      <c r="D42" s="637">
        <v>341661853.94999999</v>
      </c>
      <c r="E42" s="637">
        <v>375911240.77999997</v>
      </c>
      <c r="F42" s="637">
        <v>384571635.44</v>
      </c>
      <c r="G42" s="637">
        <v>382612680.73000002</v>
      </c>
      <c r="H42" s="637">
        <v>357186797.60000002</v>
      </c>
      <c r="I42" s="637">
        <v>355837459.19</v>
      </c>
      <c r="J42" s="637">
        <v>365533527.47000003</v>
      </c>
      <c r="K42" s="637">
        <v>340787817.47000003</v>
      </c>
      <c r="L42" s="637">
        <v>355209212.17000002</v>
      </c>
      <c r="M42" s="637">
        <v>539442613.05999994</v>
      </c>
      <c r="N42" s="637">
        <v>1733518777.76</v>
      </c>
      <c r="O42" s="637">
        <v>4926429540</v>
      </c>
      <c r="P42" s="637">
        <v>5281351630</v>
      </c>
      <c r="AK42" s="667" t="s">
        <v>859</v>
      </c>
      <c r="AL42" s="663">
        <v>423997223.75999999</v>
      </c>
      <c r="AM42" s="663">
        <v>519426485.36000001</v>
      </c>
      <c r="AN42" s="663">
        <v>428920207.94999999</v>
      </c>
      <c r="AO42" s="663">
        <v>369647920.94999999</v>
      </c>
      <c r="AP42" s="663">
        <v>376951100.82999998</v>
      </c>
      <c r="AQ42" s="663">
        <v>514635410.80000001</v>
      </c>
      <c r="AR42" s="663">
        <v>343689891.16000003</v>
      </c>
      <c r="AS42">
        <v>348851740.94</v>
      </c>
      <c r="AT42">
        <v>344866867.63999999</v>
      </c>
      <c r="AU42">
        <v>374656825.70999998</v>
      </c>
      <c r="AV42">
        <v>4045643675.0999999</v>
      </c>
    </row>
    <row r="43" spans="1:48" x14ac:dyDescent="0.2">
      <c r="A43" s="639" t="s">
        <v>616</v>
      </c>
      <c r="B43" s="637"/>
      <c r="C43" s="637"/>
      <c r="D43" s="637"/>
      <c r="E43" s="637"/>
      <c r="F43" s="637"/>
      <c r="G43" s="637"/>
      <c r="H43" s="637"/>
      <c r="I43" s="637"/>
      <c r="J43" s="637"/>
      <c r="K43" s="637"/>
      <c r="L43" s="637"/>
      <c r="M43" s="637"/>
      <c r="N43" s="637"/>
      <c r="O43" s="637"/>
      <c r="P43" s="637"/>
      <c r="AK43" s="665" t="s">
        <v>616</v>
      </c>
      <c r="AL43" s="663"/>
      <c r="AM43" s="663"/>
      <c r="AN43" s="663"/>
      <c r="AO43" s="663"/>
      <c r="AP43" s="663"/>
      <c r="AQ43" s="663"/>
      <c r="AR43" s="663"/>
    </row>
    <row r="44" spans="1:48" x14ac:dyDescent="0.2">
      <c r="A44" s="656" t="s">
        <v>645</v>
      </c>
      <c r="B44" s="637">
        <v>65689541.920000002</v>
      </c>
      <c r="C44" s="637">
        <v>63157349.600000001</v>
      </c>
      <c r="D44" s="637">
        <v>28779184.800000001</v>
      </c>
      <c r="E44" s="637">
        <v>53588274.609999999</v>
      </c>
      <c r="F44" s="637">
        <v>60381425.439999998</v>
      </c>
      <c r="G44" s="637">
        <v>50384618.93</v>
      </c>
      <c r="H44" s="637">
        <v>32502038.02</v>
      </c>
      <c r="I44" s="637">
        <v>72271075.840000004</v>
      </c>
      <c r="J44" s="637">
        <v>68438758.780000001</v>
      </c>
      <c r="K44" s="637">
        <v>74340556.659999996</v>
      </c>
      <c r="L44" s="637">
        <v>76588947.319999993</v>
      </c>
      <c r="M44" s="637">
        <v>75854208.140000001</v>
      </c>
      <c r="N44" s="637">
        <v>721975980</v>
      </c>
      <c r="O44" s="637">
        <v>710153060</v>
      </c>
      <c r="P44" s="637">
        <v>658458950</v>
      </c>
      <c r="AK44" s="666" t="s">
        <v>645</v>
      </c>
      <c r="AL44" s="663">
        <v>93755293.599999994</v>
      </c>
      <c r="AM44" s="663">
        <v>70998792.969999999</v>
      </c>
      <c r="AN44" s="663">
        <v>31307417.82</v>
      </c>
      <c r="AO44" s="663">
        <v>24964402.530000001</v>
      </c>
      <c r="AP44" s="663">
        <v>63568865.689999998</v>
      </c>
      <c r="AQ44" s="663">
        <v>79727190.540000007</v>
      </c>
      <c r="AR44" s="663">
        <v>28167217.41</v>
      </c>
      <c r="AS44">
        <v>23771755.239999998</v>
      </c>
      <c r="AT44">
        <v>42774692.850000001</v>
      </c>
      <c r="AU44">
        <v>48967469.770000003</v>
      </c>
      <c r="AV44">
        <v>508003098.42000002</v>
      </c>
    </row>
    <row r="45" spans="1:48" x14ac:dyDescent="0.2">
      <c r="A45" s="656" t="s">
        <v>830</v>
      </c>
      <c r="B45" s="637"/>
      <c r="C45" s="637"/>
      <c r="D45" s="637"/>
      <c r="E45" s="637"/>
      <c r="F45" s="637"/>
      <c r="G45" s="637">
        <v>93347200</v>
      </c>
      <c r="H45" s="637"/>
      <c r="I45" s="637"/>
      <c r="J45" s="637"/>
      <c r="K45" s="637"/>
      <c r="L45" s="637"/>
      <c r="M45" s="637">
        <v>98901300</v>
      </c>
      <c r="N45" s="637">
        <v>192248500</v>
      </c>
      <c r="O45" s="637">
        <v>221956500</v>
      </c>
      <c r="P45" s="637">
        <v>203035400</v>
      </c>
      <c r="AK45" s="666" t="s">
        <v>830</v>
      </c>
      <c r="AL45" s="663"/>
      <c r="AM45" s="663"/>
      <c r="AN45" s="663"/>
      <c r="AO45" s="663"/>
      <c r="AP45" s="663"/>
      <c r="AQ45" s="663">
        <v>104597182.8</v>
      </c>
      <c r="AR45" s="663"/>
      <c r="AS45">
        <v>-8185293.4100000001</v>
      </c>
      <c r="AV45">
        <v>96411889.390000001</v>
      </c>
    </row>
    <row r="46" spans="1:48" x14ac:dyDescent="0.2">
      <c r="A46" s="656" t="s">
        <v>2</v>
      </c>
      <c r="B46" s="637"/>
      <c r="C46" s="637"/>
      <c r="D46" s="637"/>
      <c r="E46" s="637"/>
      <c r="F46" s="637"/>
      <c r="G46" s="637"/>
      <c r="H46" s="637"/>
      <c r="I46" s="637"/>
      <c r="J46" s="637"/>
      <c r="K46" s="637"/>
      <c r="L46" s="637"/>
      <c r="M46" s="637"/>
      <c r="N46" s="637"/>
      <c r="O46" s="637"/>
      <c r="P46" s="637"/>
      <c r="AK46" s="666" t="s">
        <v>2</v>
      </c>
      <c r="AL46" s="663"/>
      <c r="AM46" s="663"/>
      <c r="AN46" s="663"/>
      <c r="AO46" s="663"/>
      <c r="AP46" s="663"/>
      <c r="AQ46" s="663"/>
      <c r="AR46" s="663"/>
    </row>
    <row r="47" spans="1:48" x14ac:dyDescent="0.2">
      <c r="A47" s="638" t="s">
        <v>847</v>
      </c>
      <c r="B47" s="637">
        <v>396801679.19</v>
      </c>
      <c r="C47" s="637">
        <v>406339157.44999999</v>
      </c>
      <c r="D47" s="637">
        <v>312882669.14999998</v>
      </c>
      <c r="E47" s="637">
        <v>322322966.17000002</v>
      </c>
      <c r="F47" s="637">
        <v>324190210</v>
      </c>
      <c r="G47" s="637">
        <v>425575261.80000001</v>
      </c>
      <c r="H47" s="637">
        <v>324684759.57999998</v>
      </c>
      <c r="I47" s="637">
        <v>283566383.35000002</v>
      </c>
      <c r="J47" s="637">
        <v>297094768.69</v>
      </c>
      <c r="K47" s="637">
        <v>266447260.81</v>
      </c>
      <c r="L47" s="637">
        <v>278620264.85000002</v>
      </c>
      <c r="M47" s="637">
        <v>562489704.91999996</v>
      </c>
      <c r="N47" s="637">
        <v>1203791297.76</v>
      </c>
      <c r="O47" s="637">
        <v>4438232980</v>
      </c>
      <c r="P47" s="637">
        <v>4825928080</v>
      </c>
      <c r="AK47" s="667" t="s">
        <v>847</v>
      </c>
      <c r="AL47" s="663">
        <v>330241930.16000003</v>
      </c>
      <c r="AM47" s="663">
        <v>448427692.38999999</v>
      </c>
      <c r="AN47" s="663">
        <v>397612790.13</v>
      </c>
      <c r="AO47" s="663">
        <v>344683518.42000002</v>
      </c>
      <c r="AP47" s="663">
        <v>313382235.13999999</v>
      </c>
      <c r="AQ47" s="663">
        <v>539505403.05999994</v>
      </c>
      <c r="AR47" s="663">
        <v>315522673.75</v>
      </c>
      <c r="AS47">
        <v>316894692.29000002</v>
      </c>
      <c r="AT47">
        <v>302092174.79000002</v>
      </c>
      <c r="AU47">
        <v>325689355.94</v>
      </c>
      <c r="AV47">
        <v>3634052466.0700002</v>
      </c>
    </row>
  </sheetData>
  <pageMargins left="0.7" right="0.7" top="0.75" bottom="0.75" header="0.3" footer="0.3"/>
  <customProperties>
    <customPr name="_pios_id" r:id="rId1"/>
    <customPr name="CofWorksheetType"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sheetPr>
  <dimension ref="A1:K93"/>
  <sheetViews>
    <sheetView showGridLines="0" zoomScaleNormal="10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35.7109375" style="21" customWidth="1"/>
    <col min="2" max="2" width="3.28515625" style="47" customWidth="1"/>
    <col min="3" max="8" width="8.7109375" style="21" customWidth="1"/>
    <col min="9"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ht="13.5" x14ac:dyDescent="0.25">
      <c r="A1" s="848" t="str">
        <f>muni&amp; " - "&amp;S71P&amp; " - "&amp;Head57</f>
        <v>KZN282 uMhlathuze - NOT REQUIRED - municipality does not have entities or this is the parent municipality's budget - M10 April</v>
      </c>
      <c r="B1" s="848"/>
      <c r="C1" s="848"/>
      <c r="D1" s="848"/>
      <c r="E1" s="848"/>
      <c r="F1" s="848"/>
      <c r="G1" s="848"/>
      <c r="H1" s="848"/>
      <c r="I1" s="848"/>
      <c r="J1" s="848"/>
      <c r="K1" s="848"/>
    </row>
    <row r="2" spans="1:11" x14ac:dyDescent="0.25">
      <c r="A2" s="837" t="str">
        <f>desc</f>
        <v>Description</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00"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ht="12.75" customHeight="1" x14ac:dyDescent="0.25">
      <c r="A4" s="519" t="s">
        <v>615</v>
      </c>
      <c r="B4" s="141">
        <v>1</v>
      </c>
      <c r="C4" s="520"/>
      <c r="D4" s="521"/>
      <c r="E4" s="522"/>
      <c r="F4" s="523"/>
      <c r="G4" s="523"/>
      <c r="H4" s="523"/>
      <c r="I4" s="523"/>
      <c r="J4" s="524" t="s">
        <v>528</v>
      </c>
      <c r="K4" s="525"/>
    </row>
    <row r="5" spans="1:11" ht="12.75" customHeight="1" x14ac:dyDescent="0.25">
      <c r="A5" s="29" t="str">
        <f>'C4-FinPerf RE'!A5</f>
        <v>Revenue</v>
      </c>
      <c r="B5" s="90"/>
      <c r="C5" s="74"/>
      <c r="D5" s="36"/>
      <c r="E5" s="34"/>
      <c r="F5" s="34"/>
      <c r="G5" s="34"/>
      <c r="H5" s="34"/>
      <c r="I5" s="34"/>
      <c r="J5" s="34"/>
      <c r="K5" s="78"/>
    </row>
    <row r="6" spans="1:11" ht="12.75" customHeight="1" x14ac:dyDescent="0.25">
      <c r="A6" s="59" t="s">
        <v>1281</v>
      </c>
      <c r="B6" s="90"/>
      <c r="C6" s="74"/>
      <c r="D6" s="36"/>
      <c r="E6" s="34"/>
      <c r="F6" s="34"/>
      <c r="G6" s="34"/>
      <c r="H6" s="34"/>
      <c r="I6" s="34"/>
      <c r="J6" s="34"/>
      <c r="K6" s="78"/>
    </row>
    <row r="7" spans="1:11" ht="12.75" customHeight="1" x14ac:dyDescent="0.25">
      <c r="A7" s="30" t="s">
        <v>1282</v>
      </c>
      <c r="B7" s="90"/>
      <c r="C7" s="379"/>
      <c r="D7" s="366"/>
      <c r="E7" s="331"/>
      <c r="F7" s="331"/>
      <c r="G7" s="331"/>
      <c r="H7" s="331"/>
      <c r="I7" s="34">
        <f t="shared" ref="I7:I24" si="0">G7-H7</f>
        <v>0</v>
      </c>
      <c r="J7" s="351" t="str">
        <f t="shared" ref="J7:J33" si="1">IF(I7=0,"",I7/H7)</f>
        <v/>
      </c>
      <c r="K7" s="332"/>
    </row>
    <row r="8" spans="1:11" ht="12.75" customHeight="1" x14ac:dyDescent="0.25">
      <c r="A8" s="30" t="s">
        <v>1283</v>
      </c>
      <c r="B8" s="90"/>
      <c r="C8" s="379"/>
      <c r="D8" s="366"/>
      <c r="E8" s="331"/>
      <c r="F8" s="331"/>
      <c r="G8" s="331"/>
      <c r="H8" s="331"/>
      <c r="I8" s="34">
        <f t="shared" si="0"/>
        <v>0</v>
      </c>
      <c r="J8" s="351" t="str">
        <f t="shared" si="1"/>
        <v/>
      </c>
      <c r="K8" s="332"/>
    </row>
    <row r="9" spans="1:11" ht="12.75" customHeight="1" x14ac:dyDescent="0.25">
      <c r="A9" s="30" t="s">
        <v>1284</v>
      </c>
      <c r="B9" s="90"/>
      <c r="C9" s="379"/>
      <c r="D9" s="366"/>
      <c r="E9" s="331"/>
      <c r="F9" s="331"/>
      <c r="G9" s="331"/>
      <c r="H9" s="331"/>
      <c r="I9" s="34">
        <f t="shared" si="0"/>
        <v>0</v>
      </c>
      <c r="J9" s="351" t="str">
        <f t="shared" si="1"/>
        <v/>
      </c>
      <c r="K9" s="332"/>
    </row>
    <row r="10" spans="1:11" ht="12.75" customHeight="1" x14ac:dyDescent="0.25">
      <c r="A10" s="30" t="s">
        <v>1285</v>
      </c>
      <c r="B10" s="90"/>
      <c r="C10" s="379"/>
      <c r="D10" s="366"/>
      <c r="E10" s="331"/>
      <c r="F10" s="331"/>
      <c r="G10" s="331"/>
      <c r="H10" s="331"/>
      <c r="I10" s="34">
        <f t="shared" si="0"/>
        <v>0</v>
      </c>
      <c r="J10" s="351" t="str">
        <f t="shared" si="1"/>
        <v/>
      </c>
      <c r="K10" s="332"/>
    </row>
    <row r="11" spans="1:11" x14ac:dyDescent="0.25">
      <c r="A11" s="30" t="s">
        <v>1286</v>
      </c>
      <c r="B11" s="90"/>
      <c r="C11" s="379"/>
      <c r="D11" s="366"/>
      <c r="E11" s="331"/>
      <c r="F11" s="331"/>
      <c r="G11" s="331"/>
      <c r="H11" s="331"/>
      <c r="I11" s="34">
        <f t="shared" ref="I11" si="2">G11-H11</f>
        <v>0</v>
      </c>
      <c r="J11" s="351" t="str">
        <f t="shared" ref="J11" si="3">IF(I11=0,"",I11/H11)</f>
        <v/>
      </c>
      <c r="K11" s="332"/>
    </row>
    <row r="12" spans="1:11" ht="12.75" customHeight="1" x14ac:dyDescent="0.25">
      <c r="A12" s="30" t="s">
        <v>533</v>
      </c>
      <c r="B12" s="90"/>
      <c r="C12" s="379"/>
      <c r="D12" s="366"/>
      <c r="E12" s="331"/>
      <c r="F12" s="331"/>
      <c r="G12" s="331"/>
      <c r="H12" s="331"/>
      <c r="I12" s="34">
        <f t="shared" si="0"/>
        <v>0</v>
      </c>
      <c r="J12" s="351" t="str">
        <f t="shared" si="1"/>
        <v/>
      </c>
      <c r="K12" s="332"/>
    </row>
    <row r="13" spans="1:11" ht="12.75" customHeight="1" x14ac:dyDescent="0.25">
      <c r="A13" s="30" t="s">
        <v>817</v>
      </c>
      <c r="B13" s="90"/>
      <c r="C13" s="379"/>
      <c r="D13" s="366"/>
      <c r="E13" s="331"/>
      <c r="F13" s="331"/>
      <c r="G13" s="331"/>
      <c r="H13" s="331"/>
      <c r="I13" s="34">
        <f t="shared" si="0"/>
        <v>0</v>
      </c>
      <c r="J13" s="351" t="str">
        <f t="shared" si="1"/>
        <v/>
      </c>
      <c r="K13" s="332"/>
    </row>
    <row r="14" spans="1:11" ht="12.75" customHeight="1" x14ac:dyDescent="0.25">
      <c r="A14" s="30" t="s">
        <v>1287</v>
      </c>
      <c r="B14" s="90"/>
      <c r="C14" s="379"/>
      <c r="D14" s="366"/>
      <c r="E14" s="331"/>
      <c r="F14" s="331"/>
      <c r="G14" s="331"/>
      <c r="H14" s="331"/>
      <c r="I14" s="34">
        <f t="shared" si="0"/>
        <v>0</v>
      </c>
      <c r="J14" s="351" t="str">
        <f t="shared" si="1"/>
        <v/>
      </c>
      <c r="K14" s="332"/>
    </row>
    <row r="15" spans="1:11" ht="12.75" customHeight="1" x14ac:dyDescent="0.25">
      <c r="A15" s="30" t="s">
        <v>1357</v>
      </c>
      <c r="B15" s="90"/>
      <c r="C15" s="379"/>
      <c r="D15" s="366"/>
      <c r="E15" s="331"/>
      <c r="F15" s="331"/>
      <c r="G15" s="331"/>
      <c r="H15" s="331"/>
      <c r="I15" s="34"/>
      <c r="J15" s="351"/>
      <c r="K15" s="332"/>
    </row>
    <row r="16" spans="1:11" ht="12.75" customHeight="1" x14ac:dyDescent="0.25">
      <c r="A16" s="30" t="s">
        <v>614</v>
      </c>
      <c r="B16" s="90"/>
      <c r="C16" s="379"/>
      <c r="D16" s="366"/>
      <c r="E16" s="331"/>
      <c r="F16" s="331"/>
      <c r="G16" s="331"/>
      <c r="H16" s="331"/>
      <c r="I16" s="34">
        <f t="shared" si="0"/>
        <v>0</v>
      </c>
      <c r="J16" s="351" t="str">
        <f t="shared" si="1"/>
        <v/>
      </c>
      <c r="K16" s="332"/>
    </row>
    <row r="17" spans="1:11" ht="12.75" customHeight="1" x14ac:dyDescent="0.25">
      <c r="A17" s="30" t="s">
        <v>1288</v>
      </c>
      <c r="B17" s="90"/>
      <c r="C17" s="379"/>
      <c r="D17" s="366"/>
      <c r="E17" s="331"/>
      <c r="F17" s="331"/>
      <c r="G17" s="331"/>
      <c r="H17" s="331"/>
      <c r="I17" s="34">
        <f t="shared" si="0"/>
        <v>0</v>
      </c>
      <c r="J17" s="351" t="str">
        <f t="shared" si="1"/>
        <v/>
      </c>
      <c r="K17" s="332"/>
    </row>
    <row r="18" spans="1:11" ht="12.75" customHeight="1" x14ac:dyDescent="0.25">
      <c r="A18" s="30" t="s">
        <v>1289</v>
      </c>
      <c r="B18" s="90"/>
      <c r="C18" s="379"/>
      <c r="D18" s="366"/>
      <c r="E18" s="331"/>
      <c r="F18" s="331"/>
      <c r="G18" s="331"/>
      <c r="H18" s="331"/>
      <c r="I18" s="34">
        <f t="shared" si="0"/>
        <v>0</v>
      </c>
      <c r="J18" s="351" t="str">
        <f t="shared" si="1"/>
        <v/>
      </c>
      <c r="K18" s="332"/>
    </row>
    <row r="19" spans="1:11" ht="12.75" customHeight="1" x14ac:dyDescent="0.25">
      <c r="A19" s="30" t="s">
        <v>1290</v>
      </c>
      <c r="B19" s="90"/>
      <c r="C19" s="379"/>
      <c r="D19" s="366"/>
      <c r="E19" s="331"/>
      <c r="F19" s="331"/>
      <c r="G19" s="331"/>
      <c r="H19" s="331"/>
      <c r="I19" s="34">
        <f t="shared" si="0"/>
        <v>0</v>
      </c>
      <c r="J19" s="351" t="str">
        <f t="shared" si="1"/>
        <v/>
      </c>
      <c r="K19" s="332"/>
    </row>
    <row r="20" spans="1:11" ht="12.75" customHeight="1" x14ac:dyDescent="0.25">
      <c r="A20" s="30" t="s">
        <v>1291</v>
      </c>
      <c r="B20" s="90"/>
      <c r="C20" s="379"/>
      <c r="D20" s="366"/>
      <c r="E20" s="331"/>
      <c r="F20" s="331"/>
      <c r="G20" s="331"/>
      <c r="H20" s="331"/>
      <c r="I20" s="34">
        <f t="shared" si="0"/>
        <v>0</v>
      </c>
      <c r="J20" s="351" t="str">
        <f t="shared" si="1"/>
        <v/>
      </c>
      <c r="K20" s="332"/>
    </row>
    <row r="21" spans="1:11" ht="12.75" customHeight="1" x14ac:dyDescent="0.25">
      <c r="A21" s="59" t="s">
        <v>1292</v>
      </c>
      <c r="B21" s="90"/>
      <c r="C21" s="379"/>
      <c r="D21" s="366"/>
      <c r="E21" s="331"/>
      <c r="F21" s="331"/>
      <c r="G21" s="331"/>
      <c r="H21" s="331"/>
      <c r="I21" s="34">
        <f t="shared" si="0"/>
        <v>0</v>
      </c>
      <c r="J21" s="351" t="str">
        <f t="shared" si="1"/>
        <v/>
      </c>
      <c r="K21" s="332"/>
    </row>
    <row r="22" spans="1:11" ht="12.75" customHeight="1" x14ac:dyDescent="0.25">
      <c r="A22" s="30" t="s">
        <v>856</v>
      </c>
      <c r="B22" s="90"/>
      <c r="C22" s="379"/>
      <c r="D22" s="366"/>
      <c r="E22" s="331"/>
      <c r="F22" s="331"/>
      <c r="G22" s="331"/>
      <c r="H22" s="331"/>
      <c r="I22" s="34"/>
      <c r="J22" s="351"/>
      <c r="K22" s="332"/>
    </row>
    <row r="23" spans="1:11" ht="12.75" customHeight="1" x14ac:dyDescent="0.25">
      <c r="A23" s="30" t="s">
        <v>1293</v>
      </c>
      <c r="B23" s="90"/>
      <c r="C23" s="379"/>
      <c r="D23" s="366"/>
      <c r="E23" s="331"/>
      <c r="F23" s="331"/>
      <c r="G23" s="331"/>
      <c r="H23" s="331"/>
      <c r="I23" s="34"/>
      <c r="J23" s="351"/>
      <c r="K23" s="332"/>
    </row>
    <row r="24" spans="1:11" ht="12.75" customHeight="1" x14ac:dyDescent="0.25">
      <c r="A24" s="30" t="s">
        <v>1023</v>
      </c>
      <c r="B24" s="90"/>
      <c r="C24" s="379"/>
      <c r="D24" s="366"/>
      <c r="E24" s="331"/>
      <c r="F24" s="331"/>
      <c r="G24" s="331"/>
      <c r="H24" s="331"/>
      <c r="I24" s="34">
        <f t="shared" si="0"/>
        <v>0</v>
      </c>
      <c r="J24" s="351" t="str">
        <f t="shared" si="1"/>
        <v/>
      </c>
      <c r="K24" s="332"/>
    </row>
    <row r="25" spans="1:11" ht="12.75" customHeight="1" x14ac:dyDescent="0.25">
      <c r="A25" s="30" t="s">
        <v>1339</v>
      </c>
      <c r="B25" s="89"/>
      <c r="C25" s="379"/>
      <c r="D25" s="366"/>
      <c r="E25" s="331"/>
      <c r="F25" s="331"/>
      <c r="G25" s="331"/>
      <c r="H25" s="331"/>
      <c r="I25" s="34"/>
      <c r="J25" s="351"/>
      <c r="K25" s="332"/>
    </row>
    <row r="26" spans="1:11" ht="12.75" customHeight="1" x14ac:dyDescent="0.25">
      <c r="A26" s="30" t="s">
        <v>1340</v>
      </c>
      <c r="B26" s="89"/>
      <c r="C26" s="379"/>
      <c r="D26" s="366"/>
      <c r="E26" s="331"/>
      <c r="F26" s="331"/>
      <c r="G26" s="331"/>
      <c r="H26" s="331"/>
      <c r="I26" s="34"/>
      <c r="J26" s="351"/>
      <c r="K26" s="332"/>
    </row>
    <row r="27" spans="1:11" ht="12.75" customHeight="1" x14ac:dyDescent="0.25">
      <c r="A27" s="30" t="s">
        <v>817</v>
      </c>
      <c r="B27" s="89"/>
      <c r="C27" s="379"/>
      <c r="D27" s="366"/>
      <c r="E27" s="331"/>
      <c r="F27" s="331"/>
      <c r="G27" s="331"/>
      <c r="H27" s="331"/>
      <c r="I27" s="34"/>
      <c r="J27" s="351"/>
      <c r="K27" s="332"/>
    </row>
    <row r="28" spans="1:11" ht="12.75" customHeight="1" x14ac:dyDescent="0.25">
      <c r="A28" s="30" t="s">
        <v>1294</v>
      </c>
      <c r="B28" s="89"/>
      <c r="C28" s="379"/>
      <c r="D28" s="366"/>
      <c r="E28" s="331"/>
      <c r="F28" s="331"/>
      <c r="G28" s="331"/>
      <c r="H28" s="331"/>
      <c r="I28" s="34"/>
      <c r="J28" s="351"/>
      <c r="K28" s="332"/>
    </row>
    <row r="29" spans="1:11" ht="12.75" customHeight="1" x14ac:dyDescent="0.25">
      <c r="A29" s="30" t="s">
        <v>1291</v>
      </c>
      <c r="B29" s="89"/>
      <c r="C29" s="379"/>
      <c r="D29" s="366"/>
      <c r="E29" s="331"/>
      <c r="F29" s="331"/>
      <c r="G29" s="331"/>
      <c r="H29" s="331"/>
      <c r="I29" s="34"/>
      <c r="J29" s="351"/>
      <c r="K29" s="332"/>
    </row>
    <row r="30" spans="1:11" ht="12.75" customHeight="1" x14ac:dyDescent="0.25">
      <c r="A30" s="30" t="s">
        <v>1295</v>
      </c>
      <c r="B30" s="89"/>
      <c r="C30" s="379"/>
      <c r="D30" s="366"/>
      <c r="E30" s="331"/>
      <c r="F30" s="331"/>
      <c r="G30" s="331"/>
      <c r="H30" s="331"/>
      <c r="I30" s="34"/>
      <c r="J30" s="351"/>
      <c r="K30" s="332"/>
    </row>
    <row r="31" spans="1:11" ht="12.75" customHeight="1" x14ac:dyDescent="0.25">
      <c r="A31" s="30" t="s">
        <v>1296</v>
      </c>
      <c r="B31" s="89"/>
      <c r="C31" s="379"/>
      <c r="D31" s="366"/>
      <c r="E31" s="331"/>
      <c r="F31" s="331"/>
      <c r="G31" s="331"/>
      <c r="H31" s="331"/>
      <c r="I31" s="34"/>
      <c r="J31" s="351"/>
      <c r="K31" s="332"/>
    </row>
    <row r="32" spans="1:11" ht="12.75" customHeight="1" x14ac:dyDescent="0.25">
      <c r="A32" s="615" t="s">
        <v>1297</v>
      </c>
      <c r="B32" s="89"/>
      <c r="C32" s="379"/>
      <c r="D32" s="366"/>
      <c r="E32" s="331"/>
      <c r="F32" s="331"/>
      <c r="G32" s="331"/>
      <c r="H32" s="331"/>
      <c r="I32" s="34"/>
      <c r="J32" s="351"/>
      <c r="K32" s="332"/>
    </row>
    <row r="33" spans="1:11" ht="12.75" customHeight="1" x14ac:dyDescent="0.25">
      <c r="A33" s="59" t="s">
        <v>116</v>
      </c>
      <c r="B33" s="59"/>
      <c r="C33" s="137">
        <f>SUM(C7:C20)+SUM(C22:C32)</f>
        <v>0</v>
      </c>
      <c r="D33" s="53">
        <f t="shared" ref="D33:E33" si="4">SUM(D7:D20)+SUM(D22:D32)</f>
        <v>0</v>
      </c>
      <c r="E33" s="52">
        <f t="shared" si="4"/>
        <v>0</v>
      </c>
      <c r="F33" s="52">
        <f>SUM(F7:F20)+SUM(F22:F32)</f>
        <v>0</v>
      </c>
      <c r="G33" s="52">
        <f>SUM(G7:G20)+SUM(G22:G32)</f>
        <v>0</v>
      </c>
      <c r="H33" s="52">
        <f>SUM(H7:H20)+SUM(H22:H32)</f>
        <v>0</v>
      </c>
      <c r="I33" s="52">
        <f>G33-H33</f>
        <v>0</v>
      </c>
      <c r="J33" s="388" t="str">
        <f t="shared" si="1"/>
        <v/>
      </c>
      <c r="K33" s="79">
        <f>SUM(K7:K20)+SUM(K22:K32)</f>
        <v>0</v>
      </c>
    </row>
    <row r="34" spans="1:11" ht="12.75" customHeight="1" x14ac:dyDescent="0.25">
      <c r="A34" s="29" t="s">
        <v>442</v>
      </c>
      <c r="B34" s="417"/>
      <c r="C34" s="74"/>
      <c r="D34" s="36"/>
      <c r="E34" s="34"/>
      <c r="F34" s="34"/>
      <c r="G34" s="34"/>
      <c r="H34" s="34"/>
      <c r="I34" s="34"/>
      <c r="J34" s="351"/>
      <c r="K34" s="78"/>
    </row>
    <row r="35" spans="1:11" ht="12.75" customHeight="1" x14ac:dyDescent="0.25">
      <c r="A35" s="30" t="s">
        <v>776</v>
      </c>
      <c r="B35" s="90"/>
      <c r="C35" s="379"/>
      <c r="D35" s="366"/>
      <c r="E35" s="331"/>
      <c r="F35" s="331"/>
      <c r="G35" s="331"/>
      <c r="H35" s="331"/>
      <c r="I35" s="34">
        <f t="shared" ref="I35:I54" si="5">G35-H35</f>
        <v>0</v>
      </c>
      <c r="J35" s="351" t="str">
        <f t="shared" ref="J35:J54" si="6">IF(I35=0,"",I35/H35)</f>
        <v/>
      </c>
      <c r="K35" s="332"/>
    </row>
    <row r="36" spans="1:11" ht="12.75" customHeight="1" x14ac:dyDescent="0.25">
      <c r="A36" s="30" t="s">
        <v>434</v>
      </c>
      <c r="B36" s="90"/>
      <c r="C36" s="379"/>
      <c r="D36" s="366"/>
      <c r="E36" s="331"/>
      <c r="F36" s="331"/>
      <c r="G36" s="331"/>
      <c r="H36" s="331"/>
      <c r="I36" s="34">
        <f t="shared" si="5"/>
        <v>0</v>
      </c>
      <c r="J36" s="351" t="str">
        <f t="shared" si="6"/>
        <v/>
      </c>
      <c r="K36" s="332"/>
    </row>
    <row r="37" spans="1:11" ht="12.75" customHeight="1" x14ac:dyDescent="0.25">
      <c r="A37" s="30" t="s">
        <v>1275</v>
      </c>
      <c r="B37" s="90"/>
      <c r="C37" s="379"/>
      <c r="D37" s="366"/>
      <c r="E37" s="331"/>
      <c r="F37" s="331"/>
      <c r="G37" s="331"/>
      <c r="H37" s="331"/>
      <c r="I37" s="34">
        <f t="shared" si="5"/>
        <v>0</v>
      </c>
      <c r="J37" s="351" t="str">
        <f t="shared" si="6"/>
        <v/>
      </c>
      <c r="K37" s="332"/>
    </row>
    <row r="38" spans="1:11" ht="12.75" customHeight="1" x14ac:dyDescent="0.25">
      <c r="A38" s="30" t="s">
        <v>1276</v>
      </c>
      <c r="B38" s="90"/>
      <c r="C38" s="379"/>
      <c r="D38" s="366"/>
      <c r="E38" s="331"/>
      <c r="F38" s="331"/>
      <c r="G38" s="331"/>
      <c r="H38" s="331"/>
      <c r="I38" s="34">
        <f t="shared" si="5"/>
        <v>0</v>
      </c>
      <c r="J38" s="351" t="str">
        <f t="shared" si="6"/>
        <v/>
      </c>
      <c r="K38" s="332"/>
    </row>
    <row r="39" spans="1:11" ht="12.75" customHeight="1" x14ac:dyDescent="0.25">
      <c r="A39" s="30" t="s">
        <v>560</v>
      </c>
      <c r="B39" s="90"/>
      <c r="C39" s="379"/>
      <c r="D39" s="366"/>
      <c r="E39" s="331"/>
      <c r="F39" s="331"/>
      <c r="G39" s="331"/>
      <c r="H39" s="331"/>
      <c r="I39" s="34">
        <f t="shared" si="5"/>
        <v>0</v>
      </c>
      <c r="J39" s="351" t="str">
        <f t="shared" si="6"/>
        <v/>
      </c>
      <c r="K39" s="332"/>
    </row>
    <row r="40" spans="1:11" ht="12.75" customHeight="1" x14ac:dyDescent="0.25">
      <c r="A40" s="30" t="s">
        <v>1279</v>
      </c>
      <c r="B40" s="90"/>
      <c r="C40" s="379"/>
      <c r="D40" s="366"/>
      <c r="E40" s="331"/>
      <c r="F40" s="331"/>
      <c r="G40" s="331"/>
      <c r="H40" s="331"/>
      <c r="I40" s="34">
        <f t="shared" si="5"/>
        <v>0</v>
      </c>
      <c r="J40" s="351" t="str">
        <f t="shared" si="6"/>
        <v/>
      </c>
      <c r="K40" s="332"/>
    </row>
    <row r="41" spans="1:11" ht="12.75" customHeight="1" x14ac:dyDescent="0.25">
      <c r="A41" s="30" t="s">
        <v>817</v>
      </c>
      <c r="B41" s="90"/>
      <c r="C41" s="379"/>
      <c r="D41" s="366"/>
      <c r="E41" s="331"/>
      <c r="F41" s="331"/>
      <c r="G41" s="331"/>
      <c r="H41" s="331"/>
      <c r="I41" s="34">
        <f t="shared" si="5"/>
        <v>0</v>
      </c>
      <c r="J41" s="351" t="str">
        <f t="shared" si="6"/>
        <v/>
      </c>
      <c r="K41" s="332"/>
    </row>
    <row r="42" spans="1:11" ht="12.75" customHeight="1" x14ac:dyDescent="0.25">
      <c r="A42" s="30" t="s">
        <v>778</v>
      </c>
      <c r="B42" s="90"/>
      <c r="C42" s="379"/>
      <c r="D42" s="366"/>
      <c r="E42" s="331"/>
      <c r="F42" s="331"/>
      <c r="G42" s="331"/>
      <c r="H42" s="331"/>
      <c r="I42" s="34">
        <f t="shared" si="5"/>
        <v>0</v>
      </c>
      <c r="J42" s="351" t="str">
        <f t="shared" si="6"/>
        <v/>
      </c>
      <c r="K42" s="332"/>
    </row>
    <row r="43" spans="1:11" ht="12.75" customHeight="1" x14ac:dyDescent="0.25">
      <c r="A43" s="30" t="s">
        <v>1024</v>
      </c>
      <c r="B43" s="90"/>
      <c r="C43" s="379"/>
      <c r="D43" s="366"/>
      <c r="E43" s="331"/>
      <c r="F43" s="331"/>
      <c r="G43" s="331"/>
      <c r="H43" s="331"/>
      <c r="I43" s="34">
        <f t="shared" si="5"/>
        <v>0</v>
      </c>
      <c r="J43" s="351" t="str">
        <f t="shared" si="6"/>
        <v/>
      </c>
      <c r="K43" s="332"/>
    </row>
    <row r="44" spans="1:11" ht="12.75" customHeight="1" x14ac:dyDescent="0.25">
      <c r="A44" s="30" t="s">
        <v>1298</v>
      </c>
      <c r="B44" s="90"/>
      <c r="C44" s="379"/>
      <c r="D44" s="366"/>
      <c r="E44" s="331"/>
      <c r="F44" s="331"/>
      <c r="G44" s="331"/>
      <c r="H44" s="331"/>
      <c r="I44" s="34">
        <f t="shared" si="5"/>
        <v>0</v>
      </c>
      <c r="J44" s="351" t="str">
        <f t="shared" si="6"/>
        <v/>
      </c>
      <c r="K44" s="332"/>
    </row>
    <row r="45" spans="1:11" ht="12.75" customHeight="1" x14ac:dyDescent="0.25">
      <c r="A45" s="30" t="s">
        <v>1299</v>
      </c>
      <c r="B45" s="90"/>
      <c r="C45" s="379"/>
      <c r="D45" s="366"/>
      <c r="E45" s="331"/>
      <c r="F45" s="331"/>
      <c r="G45" s="331"/>
      <c r="H45" s="331"/>
      <c r="I45" s="34">
        <f t="shared" si="5"/>
        <v>0</v>
      </c>
      <c r="J45" s="351" t="str">
        <f t="shared" si="6"/>
        <v/>
      </c>
      <c r="K45" s="332"/>
    </row>
    <row r="46" spans="1:11" ht="12.75" customHeight="1" x14ac:dyDescent="0.25">
      <c r="A46" s="30" t="s">
        <v>1341</v>
      </c>
      <c r="B46" s="90"/>
      <c r="C46" s="379"/>
      <c r="D46" s="366"/>
      <c r="E46" s="331"/>
      <c r="F46" s="331"/>
      <c r="G46" s="331"/>
      <c r="H46" s="331"/>
      <c r="I46" s="34"/>
      <c r="J46" s="351"/>
      <c r="K46" s="332"/>
    </row>
    <row r="47" spans="1:11" ht="12.75" customHeight="1" x14ac:dyDescent="0.25">
      <c r="A47" s="30" t="s">
        <v>1301</v>
      </c>
      <c r="B47" s="90"/>
      <c r="C47" s="379"/>
      <c r="D47" s="366"/>
      <c r="E47" s="331"/>
      <c r="F47" s="331"/>
      <c r="G47" s="331"/>
      <c r="H47" s="331"/>
      <c r="I47" s="34"/>
      <c r="J47" s="351"/>
      <c r="K47" s="332"/>
    </row>
    <row r="48" spans="1:11" ht="12.75" customHeight="1" x14ac:dyDescent="0.25">
      <c r="A48" s="164" t="s">
        <v>443</v>
      </c>
      <c r="B48" s="594"/>
      <c r="C48" s="137">
        <f>SUM(C35:C47)</f>
        <v>0</v>
      </c>
      <c r="D48" s="53">
        <f t="shared" ref="D48:H48" si="7">SUM(D35:D47)</f>
        <v>0</v>
      </c>
      <c r="E48" s="52">
        <f t="shared" si="7"/>
        <v>0</v>
      </c>
      <c r="F48" s="52">
        <f t="shared" si="7"/>
        <v>0</v>
      </c>
      <c r="G48" s="52">
        <f t="shared" si="7"/>
        <v>0</v>
      </c>
      <c r="H48" s="52">
        <f t="shared" si="7"/>
        <v>0</v>
      </c>
      <c r="I48" s="52">
        <f t="shared" si="5"/>
        <v>0</v>
      </c>
      <c r="J48" s="388" t="str">
        <f t="shared" si="6"/>
        <v/>
      </c>
      <c r="K48" s="79">
        <f>SUM(K35:K47)</f>
        <v>0</v>
      </c>
    </row>
    <row r="49" spans="1:11" ht="12.75" customHeight="1" x14ac:dyDescent="0.25">
      <c r="A49" s="59" t="str">
        <f>'C4-FinPerf RE'!A49</f>
        <v>Surplus/(Deficit)</v>
      </c>
      <c r="B49" s="90"/>
      <c r="C49" s="74">
        <f t="shared" ref="C49:H49" si="8">C33-C48</f>
        <v>0</v>
      </c>
      <c r="D49" s="36">
        <f t="shared" si="8"/>
        <v>0</v>
      </c>
      <c r="E49" s="34">
        <f t="shared" si="8"/>
        <v>0</v>
      </c>
      <c r="F49" s="34">
        <f t="shared" si="8"/>
        <v>0</v>
      </c>
      <c r="G49" s="34">
        <f t="shared" si="8"/>
        <v>0</v>
      </c>
      <c r="H49" s="34">
        <f t="shared" si="8"/>
        <v>0</v>
      </c>
      <c r="I49" s="34">
        <f t="shared" si="5"/>
        <v>0</v>
      </c>
      <c r="J49" s="351" t="str">
        <f t="shared" si="6"/>
        <v/>
      </c>
      <c r="K49" s="78">
        <f>K33-K48</f>
        <v>0</v>
      </c>
    </row>
    <row r="50" spans="1:11" ht="21.6" customHeight="1" x14ac:dyDescent="0.25">
      <c r="A50" s="389" t="str">
        <f>'C4-FinPerf RE'!A50</f>
        <v>Transfers and subsidies - capital (monetary allocations)</v>
      </c>
      <c r="B50" s="90"/>
      <c r="C50" s="379"/>
      <c r="D50" s="366"/>
      <c r="E50" s="331"/>
      <c r="F50" s="331"/>
      <c r="G50" s="331"/>
      <c r="H50" s="331"/>
      <c r="I50" s="34">
        <f t="shared" si="5"/>
        <v>0</v>
      </c>
      <c r="J50" s="351" t="str">
        <f t="shared" si="6"/>
        <v/>
      </c>
      <c r="K50" s="332"/>
    </row>
    <row r="51" spans="1:11" x14ac:dyDescent="0.25">
      <c r="A51" s="389" t="str">
        <f>'C4-FinPerf RE'!A51</f>
        <v>Transfers and subsidies - capital (in-kind)</v>
      </c>
      <c r="B51" s="90"/>
      <c r="C51" s="379"/>
      <c r="D51" s="366"/>
      <c r="E51" s="331"/>
      <c r="F51" s="331"/>
      <c r="G51" s="331"/>
      <c r="H51" s="331"/>
      <c r="I51" s="34">
        <f t="shared" si="5"/>
        <v>0</v>
      </c>
      <c r="J51" s="351" t="str">
        <f t="shared" si="6"/>
        <v/>
      </c>
      <c r="K51" s="332"/>
    </row>
    <row r="52" spans="1:11" ht="25.5" x14ac:dyDescent="0.25">
      <c r="A52" s="595" t="str">
        <f>'C4-FinPerf RE'!A52</f>
        <v>Surplus/(Deficit) after capital transfers &amp; contributions</v>
      </c>
      <c r="B52" s="543"/>
      <c r="C52" s="596">
        <f t="shared" ref="C52:H52" si="9">C49+SUM(C50:C51)</f>
        <v>0</v>
      </c>
      <c r="D52" s="597">
        <f t="shared" si="9"/>
        <v>0</v>
      </c>
      <c r="E52" s="328">
        <f t="shared" si="9"/>
        <v>0</v>
      </c>
      <c r="F52" s="328">
        <f t="shared" si="9"/>
        <v>0</v>
      </c>
      <c r="G52" s="328">
        <f t="shared" si="9"/>
        <v>0</v>
      </c>
      <c r="H52" s="328">
        <f t="shared" si="9"/>
        <v>0</v>
      </c>
      <c r="I52" s="328">
        <f t="shared" si="5"/>
        <v>0</v>
      </c>
      <c r="J52" s="359" t="str">
        <f t="shared" si="6"/>
        <v/>
      </c>
      <c r="K52" s="329">
        <f>K49+SUM(K50:K51)</f>
        <v>0</v>
      </c>
    </row>
    <row r="53" spans="1:11" ht="12.75" customHeight="1" x14ac:dyDescent="0.25">
      <c r="A53" s="389" t="str">
        <f>'C4-FinPerf RE'!A53</f>
        <v>Income Tax</v>
      </c>
      <c r="B53" s="90"/>
      <c r="C53" s="379"/>
      <c r="D53" s="366"/>
      <c r="E53" s="331"/>
      <c r="F53" s="331"/>
      <c r="G53" s="331"/>
      <c r="H53" s="331"/>
      <c r="I53" s="34">
        <f t="shared" si="5"/>
        <v>0</v>
      </c>
      <c r="J53" s="351" t="str">
        <f t="shared" si="6"/>
        <v/>
      </c>
      <c r="K53" s="332"/>
    </row>
    <row r="54" spans="1:11" ht="12.75" customHeight="1" x14ac:dyDescent="0.25">
      <c r="A54" s="40" t="str">
        <f>'C4-FinPerf RE'!A54</f>
        <v>Surplus/(Deficit) after income tax</v>
      </c>
      <c r="B54" s="130"/>
      <c r="C54" s="71">
        <f t="shared" ref="C54:H54" si="10">C52-C53</f>
        <v>0</v>
      </c>
      <c r="D54" s="42">
        <f t="shared" si="10"/>
        <v>0</v>
      </c>
      <c r="E54" s="41">
        <f t="shared" si="10"/>
        <v>0</v>
      </c>
      <c r="F54" s="41">
        <f t="shared" si="10"/>
        <v>0</v>
      </c>
      <c r="G54" s="41">
        <f t="shared" si="10"/>
        <v>0</v>
      </c>
      <c r="H54" s="41">
        <f t="shared" si="10"/>
        <v>0</v>
      </c>
      <c r="I54" s="41">
        <f t="shared" si="5"/>
        <v>0</v>
      </c>
      <c r="J54" s="581" t="str">
        <f t="shared" si="6"/>
        <v/>
      </c>
      <c r="K54" s="129">
        <f>K52-K53</f>
        <v>0</v>
      </c>
    </row>
    <row r="55" spans="1:11" ht="12.75" customHeight="1" x14ac:dyDescent="0.25">
      <c r="A55" s="64" t="str">
        <f>head27a</f>
        <v>References</v>
      </c>
      <c r="C55" s="316"/>
      <c r="D55" s="316"/>
      <c r="E55" s="316"/>
      <c r="F55" s="316"/>
      <c r="G55" s="316"/>
      <c r="H55" s="316"/>
      <c r="I55" s="316"/>
      <c r="J55" s="598"/>
      <c r="K55" s="316"/>
    </row>
    <row r="56" spans="1:11" ht="12.75" customHeight="1" x14ac:dyDescent="0.25">
      <c r="A56" s="73" t="s">
        <v>574</v>
      </c>
      <c r="C56" s="316"/>
      <c r="D56" s="316"/>
      <c r="E56" s="316"/>
      <c r="F56" s="316"/>
      <c r="G56" s="316"/>
      <c r="H56" s="316"/>
      <c r="I56" s="316"/>
      <c r="J56" s="316"/>
      <c r="K56" s="316"/>
    </row>
    <row r="57" spans="1:11" ht="12.75" customHeight="1" x14ac:dyDescent="0.25">
      <c r="A57" s="45"/>
      <c r="B57" s="44"/>
      <c r="C57" s="375"/>
      <c r="D57" s="375"/>
      <c r="E57" s="375"/>
      <c r="F57" s="375"/>
      <c r="G57" s="375"/>
      <c r="H57" s="375"/>
      <c r="I57" s="375"/>
      <c r="J57" s="375"/>
      <c r="K57" s="375"/>
    </row>
    <row r="58" spans="1:11" ht="12.75" customHeight="1" x14ac:dyDescent="0.25">
      <c r="A58" s="45"/>
      <c r="B58" s="44"/>
      <c r="C58" s="375"/>
      <c r="D58" s="375"/>
      <c r="E58" s="375"/>
      <c r="F58" s="375"/>
      <c r="G58" s="375"/>
      <c r="H58" s="375"/>
      <c r="I58" s="375"/>
      <c r="J58" s="375"/>
      <c r="K58" s="375"/>
    </row>
    <row r="59" spans="1:11" ht="12.75" customHeight="1" x14ac:dyDescent="0.25">
      <c r="B59" s="21"/>
    </row>
    <row r="60" spans="1:11" ht="12.75" customHeight="1" x14ac:dyDescent="0.25">
      <c r="B60" s="21"/>
    </row>
    <row r="61" spans="1:11" ht="12.75" customHeight="1" x14ac:dyDescent="0.25">
      <c r="B61" s="21"/>
    </row>
    <row r="62" spans="1:11" ht="12.75" customHeight="1" x14ac:dyDescent="0.25">
      <c r="B62" s="21"/>
    </row>
    <row r="63" spans="1:11" ht="12.75" customHeight="1" x14ac:dyDescent="0.25">
      <c r="B63" s="21"/>
    </row>
    <row r="64" spans="1:11" ht="12.75" customHeight="1" x14ac:dyDescent="0.25">
      <c r="B64" s="21"/>
    </row>
    <row r="65" spans="2:2" ht="12.75" customHeight="1" x14ac:dyDescent="0.25">
      <c r="B65" s="21"/>
    </row>
    <row r="66" spans="2:2" ht="11.25" customHeight="1" x14ac:dyDescent="0.25">
      <c r="B66" s="21"/>
    </row>
    <row r="67" spans="2:2" ht="11.25" customHeight="1" x14ac:dyDescent="0.25">
      <c r="B67" s="21"/>
    </row>
    <row r="68" spans="2:2" ht="11.25" customHeight="1" x14ac:dyDescent="0.25">
      <c r="B68" s="21"/>
    </row>
    <row r="69" spans="2:2" ht="11.25" customHeight="1" x14ac:dyDescent="0.25">
      <c r="B69" s="21"/>
    </row>
    <row r="70" spans="2:2" ht="11.25" customHeight="1" x14ac:dyDescent="0.25">
      <c r="B70" s="21"/>
    </row>
    <row r="71" spans="2:2" ht="11.25" customHeight="1" x14ac:dyDescent="0.25">
      <c r="B71" s="21"/>
    </row>
    <row r="72" spans="2:2" ht="11.25" customHeight="1" x14ac:dyDescent="0.25">
      <c r="B72" s="21"/>
    </row>
    <row r="73" spans="2:2" ht="11.25" customHeight="1" x14ac:dyDescent="0.25">
      <c r="B73" s="21"/>
    </row>
    <row r="74" spans="2:2" ht="11.25" customHeight="1" x14ac:dyDescent="0.25">
      <c r="B74" s="21"/>
    </row>
    <row r="75" spans="2:2" ht="11.25" customHeight="1" x14ac:dyDescent="0.25">
      <c r="B75" s="21"/>
    </row>
    <row r="76" spans="2:2" ht="11.25" customHeight="1" x14ac:dyDescent="0.25">
      <c r="B76" s="21"/>
    </row>
    <row r="77" spans="2:2" ht="11.25" customHeight="1" x14ac:dyDescent="0.25">
      <c r="B77" s="21"/>
    </row>
    <row r="78" spans="2:2" ht="11.25" customHeight="1" x14ac:dyDescent="0.25">
      <c r="B78" s="21"/>
    </row>
    <row r="79" spans="2:2" ht="11.25" customHeight="1" x14ac:dyDescent="0.25">
      <c r="B79" s="21"/>
    </row>
    <row r="80" spans="2:2" ht="11.25" customHeight="1" x14ac:dyDescent="0.25">
      <c r="B80" s="21"/>
    </row>
    <row r="81" spans="2:2" ht="11.25" customHeight="1" x14ac:dyDescent="0.25">
      <c r="B81" s="21"/>
    </row>
    <row r="82" spans="2:2" ht="11.25" customHeight="1" x14ac:dyDescent="0.25">
      <c r="B82" s="21"/>
    </row>
    <row r="83" spans="2:2" ht="11.25" customHeight="1" x14ac:dyDescent="0.25">
      <c r="B83" s="21"/>
    </row>
    <row r="84" spans="2:2" ht="11.25" customHeight="1" x14ac:dyDescent="0.25">
      <c r="B84" s="21"/>
    </row>
    <row r="85" spans="2:2" ht="11.25" customHeight="1" x14ac:dyDescent="0.25">
      <c r="B85" s="21"/>
    </row>
    <row r="86" spans="2:2" ht="11.25" customHeight="1" x14ac:dyDescent="0.25">
      <c r="B86" s="21"/>
    </row>
    <row r="87" spans="2:2" ht="11.25" customHeight="1" x14ac:dyDescent="0.25">
      <c r="B87" s="21"/>
    </row>
    <row r="88" spans="2:2" ht="11.25" customHeight="1" x14ac:dyDescent="0.25">
      <c r="B88" s="21"/>
    </row>
    <row r="89" spans="2:2" ht="11.25" customHeight="1" x14ac:dyDescent="0.25">
      <c r="B89" s="21"/>
    </row>
    <row r="90" spans="2:2" ht="11.25" customHeight="1" x14ac:dyDescent="0.25">
      <c r="B90" s="21"/>
    </row>
    <row r="91" spans="2:2" ht="11.25" customHeight="1" x14ac:dyDescent="0.25">
      <c r="B91" s="21"/>
    </row>
    <row r="92" spans="2:2" ht="11.25" customHeight="1" x14ac:dyDescent="0.25"/>
    <row r="93" spans="2:2" ht="11.25" customHeight="1" x14ac:dyDescent="0.25"/>
  </sheetData>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39370078740157483"/>
  <pageSetup paperSize="8" scale="90" orientation="portrait" r:id="rId1"/>
  <headerFooter alignWithMargins="0">
    <oddFooter>&amp;L&amp;F&amp;C&amp;A&amp;R&amp;D</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sheetPr>
  <dimension ref="A1:K85"/>
  <sheetViews>
    <sheetView showGridLines="0" zoomScaleNormal="100" workbookViewId="0">
      <pane xSplit="2" ySplit="4" topLeftCell="D5" activePane="bottomRight" state="frozen"/>
      <selection pane="topRight"/>
      <selection pane="bottomLeft"/>
      <selection pane="bottomRight" sqref="A1:K1"/>
    </sheetView>
  </sheetViews>
  <sheetFormatPr defaultColWidth="9.28515625" defaultRowHeight="12.75" x14ac:dyDescent="0.25"/>
  <cols>
    <col min="1" max="1" width="35.7109375" style="21" customWidth="1"/>
    <col min="2" max="2" width="3.28515625" style="47" customWidth="1"/>
    <col min="3" max="8" width="8.7109375" style="21" customWidth="1"/>
    <col min="9"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ht="13.5" x14ac:dyDescent="0.25">
      <c r="A1" s="848" t="str">
        <f>muni&amp; " - "&amp;S71Q&amp; " - "&amp;Head57</f>
        <v>KZN282 uMhlathuze - NOT REQUIRED - municipality does not have entities or this is the parent municipality's budget - M10 April</v>
      </c>
      <c r="B1" s="848"/>
      <c r="C1" s="848"/>
      <c r="D1" s="848"/>
      <c r="E1" s="848"/>
      <c r="F1" s="848"/>
      <c r="G1" s="848"/>
      <c r="H1" s="848"/>
      <c r="I1" s="848"/>
      <c r="J1" s="848"/>
      <c r="K1" s="848"/>
    </row>
    <row r="2" spans="1:11" x14ac:dyDescent="0.25">
      <c r="A2" s="837" t="str">
        <f>desc</f>
        <v>Description</v>
      </c>
      <c r="B2" s="830" t="str">
        <f>head27</f>
        <v>Ref</v>
      </c>
      <c r="C2" s="83" t="str">
        <f>Head1</f>
        <v>2023/24</v>
      </c>
      <c r="D2" s="832" t="str">
        <f>Head2</f>
        <v>Budget Year 2024/25</v>
      </c>
      <c r="E2" s="833"/>
      <c r="F2" s="833"/>
      <c r="G2" s="833"/>
      <c r="H2" s="833"/>
      <c r="I2" s="833"/>
      <c r="J2" s="833"/>
      <c r="K2" s="834"/>
    </row>
    <row r="3" spans="1:11" ht="25.5" x14ac:dyDescent="0.25">
      <c r="A3" s="838"/>
      <c r="B3" s="841"/>
      <c r="C3" s="84" t="str">
        <f>Head5</f>
        <v>Audited Outcome</v>
      </c>
      <c r="D3" s="147"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208" t="s">
        <v>615</v>
      </c>
      <c r="B4" s="141"/>
      <c r="C4" s="520"/>
      <c r="D4" s="549"/>
      <c r="E4" s="522"/>
      <c r="F4" s="523"/>
      <c r="G4" s="523"/>
      <c r="H4" s="523"/>
      <c r="I4" s="523"/>
      <c r="J4" s="524" t="s">
        <v>528</v>
      </c>
      <c r="K4" s="525"/>
    </row>
    <row r="5" spans="1:11" ht="12.75" customHeight="1" x14ac:dyDescent="0.25">
      <c r="A5" s="550" t="s">
        <v>507</v>
      </c>
      <c r="B5" s="90"/>
      <c r="C5" s="74"/>
      <c r="D5" s="148"/>
      <c r="E5" s="34"/>
      <c r="F5" s="34"/>
      <c r="G5" s="34"/>
      <c r="H5" s="34"/>
      <c r="I5" s="34"/>
      <c r="J5" s="34"/>
      <c r="K5" s="78"/>
    </row>
    <row r="6" spans="1:11" ht="12.75" customHeight="1" x14ac:dyDescent="0.25">
      <c r="A6" s="599" t="s">
        <v>58</v>
      </c>
      <c r="B6" s="90"/>
      <c r="C6" s="379"/>
      <c r="D6" s="415"/>
      <c r="E6" s="331"/>
      <c r="F6" s="331"/>
      <c r="G6" s="331"/>
      <c r="H6" s="331"/>
      <c r="I6" s="34">
        <f t="shared" ref="I6:I41" si="0">G6-H6</f>
        <v>0</v>
      </c>
      <c r="J6" s="351" t="str">
        <f>IF(I6=0,"",I6/H6)</f>
        <v/>
      </c>
      <c r="K6" s="332"/>
    </row>
    <row r="7" spans="1:11" ht="12.75" customHeight="1" x14ac:dyDescent="0.25">
      <c r="A7" s="507"/>
      <c r="B7" s="90"/>
      <c r="C7" s="379"/>
      <c r="D7" s="415"/>
      <c r="E7" s="331"/>
      <c r="F7" s="331"/>
      <c r="G7" s="331"/>
      <c r="H7" s="331"/>
      <c r="I7" s="34">
        <f t="shared" si="0"/>
        <v>0</v>
      </c>
      <c r="J7" s="351" t="str">
        <f t="shared" ref="J7:J16" si="1">IF(I7=0,"",I7/H7)</f>
        <v/>
      </c>
      <c r="K7" s="332"/>
    </row>
    <row r="8" spans="1:11" ht="12.75" customHeight="1" x14ac:dyDescent="0.25">
      <c r="A8" s="507"/>
      <c r="B8" s="90"/>
      <c r="C8" s="379"/>
      <c r="D8" s="415"/>
      <c r="E8" s="331"/>
      <c r="F8" s="331"/>
      <c r="G8" s="331"/>
      <c r="H8" s="331"/>
      <c r="I8" s="34">
        <f t="shared" si="0"/>
        <v>0</v>
      </c>
      <c r="J8" s="351" t="str">
        <f t="shared" si="1"/>
        <v/>
      </c>
      <c r="K8" s="332"/>
    </row>
    <row r="9" spans="1:11" ht="12.75" customHeight="1" x14ac:dyDescent="0.25">
      <c r="A9" s="507"/>
      <c r="B9" s="90"/>
      <c r="C9" s="379"/>
      <c r="D9" s="415"/>
      <c r="E9" s="331"/>
      <c r="F9" s="331"/>
      <c r="G9" s="331"/>
      <c r="H9" s="331"/>
      <c r="I9" s="34">
        <f t="shared" si="0"/>
        <v>0</v>
      </c>
      <c r="J9" s="351" t="str">
        <f t="shared" si="1"/>
        <v/>
      </c>
      <c r="K9" s="332"/>
    </row>
    <row r="10" spans="1:11" ht="12.75" customHeight="1" x14ac:dyDescent="0.25">
      <c r="A10" s="507"/>
      <c r="B10" s="90"/>
      <c r="C10" s="379"/>
      <c r="D10" s="415"/>
      <c r="E10" s="331"/>
      <c r="F10" s="331"/>
      <c r="G10" s="331"/>
      <c r="H10" s="331"/>
      <c r="I10" s="34">
        <f t="shared" si="0"/>
        <v>0</v>
      </c>
      <c r="J10" s="351" t="str">
        <f t="shared" si="1"/>
        <v/>
      </c>
      <c r="K10" s="332"/>
    </row>
    <row r="11" spans="1:11" ht="12.75" customHeight="1" x14ac:dyDescent="0.25">
      <c r="A11" s="507"/>
      <c r="B11" s="90"/>
      <c r="C11" s="379"/>
      <c r="D11" s="415"/>
      <c r="E11" s="331"/>
      <c r="F11" s="331"/>
      <c r="G11" s="331"/>
      <c r="H11" s="331"/>
      <c r="I11" s="34">
        <f t="shared" si="0"/>
        <v>0</v>
      </c>
      <c r="J11" s="351" t="str">
        <f t="shared" si="1"/>
        <v/>
      </c>
      <c r="K11" s="332"/>
    </row>
    <row r="12" spans="1:11" ht="12.75" customHeight="1" x14ac:dyDescent="0.25">
      <c r="A12" s="507"/>
      <c r="B12" s="90"/>
      <c r="C12" s="379"/>
      <c r="D12" s="415"/>
      <c r="E12" s="331"/>
      <c r="F12" s="331"/>
      <c r="G12" s="331"/>
      <c r="H12" s="331"/>
      <c r="I12" s="34">
        <f t="shared" si="0"/>
        <v>0</v>
      </c>
      <c r="J12" s="351" t="str">
        <f t="shared" si="1"/>
        <v/>
      </c>
      <c r="K12" s="332"/>
    </row>
    <row r="13" spans="1:11" ht="12.75" customHeight="1" x14ac:dyDescent="0.25">
      <c r="A13" s="507"/>
      <c r="B13" s="90"/>
      <c r="C13" s="379"/>
      <c r="D13" s="415"/>
      <c r="E13" s="331"/>
      <c r="F13" s="331"/>
      <c r="G13" s="331"/>
      <c r="H13" s="331"/>
      <c r="I13" s="34">
        <f t="shared" si="0"/>
        <v>0</v>
      </c>
      <c r="J13" s="351" t="str">
        <f t="shared" si="1"/>
        <v/>
      </c>
      <c r="K13" s="332"/>
    </row>
    <row r="14" spans="1:11" ht="12.75" customHeight="1" x14ac:dyDescent="0.25">
      <c r="A14" s="507"/>
      <c r="B14" s="90"/>
      <c r="C14" s="379"/>
      <c r="D14" s="415"/>
      <c r="E14" s="331"/>
      <c r="F14" s="331"/>
      <c r="G14" s="331"/>
      <c r="H14" s="331"/>
      <c r="I14" s="34">
        <f t="shared" si="0"/>
        <v>0</v>
      </c>
      <c r="J14" s="351" t="str">
        <f t="shared" si="1"/>
        <v/>
      </c>
      <c r="K14" s="332"/>
    </row>
    <row r="15" spans="1:11" ht="12.75" customHeight="1" x14ac:dyDescent="0.25">
      <c r="A15" s="507"/>
      <c r="B15" s="90"/>
      <c r="C15" s="379"/>
      <c r="D15" s="415"/>
      <c r="E15" s="331"/>
      <c r="F15" s="331"/>
      <c r="G15" s="331"/>
      <c r="H15" s="331"/>
      <c r="I15" s="34">
        <f t="shared" si="0"/>
        <v>0</v>
      </c>
      <c r="J15" s="351" t="str">
        <f t="shared" si="1"/>
        <v/>
      </c>
      <c r="K15" s="332"/>
    </row>
    <row r="16" spans="1:11" ht="12.75" customHeight="1" x14ac:dyDescent="0.25">
      <c r="A16" s="62" t="s">
        <v>496</v>
      </c>
      <c r="B16" s="127">
        <v>1</v>
      </c>
      <c r="C16" s="137">
        <f t="shared" ref="C16:H16" si="2">SUM(C6:C15)</f>
        <v>0</v>
      </c>
      <c r="D16" s="150">
        <f t="shared" si="2"/>
        <v>0</v>
      </c>
      <c r="E16" s="52">
        <f t="shared" si="2"/>
        <v>0</v>
      </c>
      <c r="F16" s="52">
        <f t="shared" si="2"/>
        <v>0</v>
      </c>
      <c r="G16" s="52">
        <f t="shared" si="2"/>
        <v>0</v>
      </c>
      <c r="H16" s="52">
        <f t="shared" si="2"/>
        <v>0</v>
      </c>
      <c r="I16" s="52">
        <f t="shared" si="0"/>
        <v>0</v>
      </c>
      <c r="J16" s="388" t="str">
        <f t="shared" si="1"/>
        <v/>
      </c>
      <c r="K16" s="79">
        <f>SUM(K6:K15)</f>
        <v>0</v>
      </c>
    </row>
    <row r="17" spans="1:11" ht="5.0999999999999996" customHeight="1" x14ac:dyDescent="0.25">
      <c r="A17" s="32"/>
      <c r="B17" s="90"/>
      <c r="C17" s="74"/>
      <c r="D17" s="148"/>
      <c r="E17" s="34"/>
      <c r="F17" s="34"/>
      <c r="G17" s="34"/>
      <c r="H17" s="34"/>
      <c r="I17" s="34"/>
      <c r="J17" s="351"/>
      <c r="K17" s="78"/>
    </row>
    <row r="18" spans="1:11" ht="12.75" customHeight="1" x14ac:dyDescent="0.25">
      <c r="A18" s="29" t="s">
        <v>506</v>
      </c>
      <c r="B18" s="417"/>
      <c r="C18" s="74"/>
      <c r="D18" s="148"/>
      <c r="E18" s="34"/>
      <c r="F18" s="34"/>
      <c r="G18" s="34"/>
      <c r="H18" s="34"/>
      <c r="I18" s="34"/>
      <c r="J18" s="351"/>
      <c r="K18" s="78"/>
    </row>
    <row r="19" spans="1:11" ht="12.75" customHeight="1" x14ac:dyDescent="0.25">
      <c r="A19" s="599" t="str">
        <f>A6</f>
        <v>Insert name of municipal entity</v>
      </c>
      <c r="B19" s="90"/>
      <c r="C19" s="379"/>
      <c r="D19" s="415"/>
      <c r="E19" s="331"/>
      <c r="F19" s="331"/>
      <c r="G19" s="331"/>
      <c r="H19" s="331"/>
      <c r="I19" s="34">
        <f t="shared" si="0"/>
        <v>0</v>
      </c>
      <c r="J19" s="351" t="str">
        <f t="shared" ref="J19:J43" si="3">IF(I19=0,"",I19/H19)</f>
        <v/>
      </c>
      <c r="K19" s="332"/>
    </row>
    <row r="20" spans="1:11" ht="12.75" customHeight="1" x14ac:dyDescent="0.25">
      <c r="A20" s="507" t="str">
        <f>IF(A7="","",A7)</f>
        <v/>
      </c>
      <c r="B20" s="90"/>
      <c r="C20" s="379"/>
      <c r="D20" s="415"/>
      <c r="E20" s="331"/>
      <c r="F20" s="331"/>
      <c r="G20" s="331"/>
      <c r="H20" s="331"/>
      <c r="I20" s="34">
        <f t="shared" si="0"/>
        <v>0</v>
      </c>
      <c r="J20" s="351" t="str">
        <f t="shared" si="3"/>
        <v/>
      </c>
      <c r="K20" s="332"/>
    </row>
    <row r="21" spans="1:11" ht="12.75" customHeight="1" x14ac:dyDescent="0.25">
      <c r="A21" s="507" t="str">
        <f t="shared" ref="A21:A28" si="4">IF(A8="","",A8)</f>
        <v/>
      </c>
      <c r="B21" s="90"/>
      <c r="C21" s="379"/>
      <c r="D21" s="415"/>
      <c r="E21" s="331"/>
      <c r="F21" s="331"/>
      <c r="G21" s="331"/>
      <c r="H21" s="331"/>
      <c r="I21" s="34">
        <f t="shared" si="0"/>
        <v>0</v>
      </c>
      <c r="J21" s="351" t="str">
        <f t="shared" si="3"/>
        <v/>
      </c>
      <c r="K21" s="332"/>
    </row>
    <row r="22" spans="1:11" ht="12.75" customHeight="1" x14ac:dyDescent="0.25">
      <c r="A22" s="507" t="str">
        <f t="shared" si="4"/>
        <v/>
      </c>
      <c r="B22" s="90"/>
      <c r="C22" s="379"/>
      <c r="D22" s="415"/>
      <c r="E22" s="331"/>
      <c r="F22" s="331"/>
      <c r="G22" s="331"/>
      <c r="H22" s="331"/>
      <c r="I22" s="34">
        <f t="shared" si="0"/>
        <v>0</v>
      </c>
      <c r="J22" s="351" t="str">
        <f t="shared" si="3"/>
        <v/>
      </c>
      <c r="K22" s="332"/>
    </row>
    <row r="23" spans="1:11" ht="12.75" customHeight="1" x14ac:dyDescent="0.25">
      <c r="A23" s="507" t="str">
        <f t="shared" si="4"/>
        <v/>
      </c>
      <c r="B23" s="90"/>
      <c r="C23" s="379"/>
      <c r="D23" s="415"/>
      <c r="E23" s="331"/>
      <c r="F23" s="331"/>
      <c r="G23" s="331"/>
      <c r="H23" s="331"/>
      <c r="I23" s="34">
        <f t="shared" si="0"/>
        <v>0</v>
      </c>
      <c r="J23" s="351" t="str">
        <f t="shared" si="3"/>
        <v/>
      </c>
      <c r="K23" s="332"/>
    </row>
    <row r="24" spans="1:11" ht="12.75" customHeight="1" x14ac:dyDescent="0.25">
      <c r="A24" s="507" t="str">
        <f t="shared" si="4"/>
        <v/>
      </c>
      <c r="B24" s="90"/>
      <c r="C24" s="379"/>
      <c r="D24" s="415"/>
      <c r="E24" s="331"/>
      <c r="F24" s="331"/>
      <c r="G24" s="331"/>
      <c r="H24" s="331"/>
      <c r="I24" s="34">
        <f t="shared" si="0"/>
        <v>0</v>
      </c>
      <c r="J24" s="351" t="str">
        <f t="shared" si="3"/>
        <v/>
      </c>
      <c r="K24" s="332"/>
    </row>
    <row r="25" spans="1:11" ht="12.75" customHeight="1" x14ac:dyDescent="0.25">
      <c r="A25" s="507" t="str">
        <f t="shared" si="4"/>
        <v/>
      </c>
      <c r="B25" s="90"/>
      <c r="C25" s="379"/>
      <c r="D25" s="415"/>
      <c r="E25" s="331"/>
      <c r="F25" s="331"/>
      <c r="G25" s="331"/>
      <c r="H25" s="331"/>
      <c r="I25" s="34">
        <f t="shared" si="0"/>
        <v>0</v>
      </c>
      <c r="J25" s="351" t="str">
        <f t="shared" si="3"/>
        <v/>
      </c>
      <c r="K25" s="332"/>
    </row>
    <row r="26" spans="1:11" ht="12.75" customHeight="1" x14ac:dyDescent="0.25">
      <c r="A26" s="507" t="str">
        <f t="shared" si="4"/>
        <v/>
      </c>
      <c r="B26" s="90"/>
      <c r="C26" s="379"/>
      <c r="D26" s="415"/>
      <c r="E26" s="331"/>
      <c r="F26" s="331"/>
      <c r="G26" s="331"/>
      <c r="H26" s="331"/>
      <c r="I26" s="34">
        <f t="shared" si="0"/>
        <v>0</v>
      </c>
      <c r="J26" s="351" t="str">
        <f t="shared" si="3"/>
        <v/>
      </c>
      <c r="K26" s="332"/>
    </row>
    <row r="27" spans="1:11" ht="12.75" customHeight="1" x14ac:dyDescent="0.25">
      <c r="A27" s="507" t="str">
        <f t="shared" si="4"/>
        <v/>
      </c>
      <c r="B27" s="90"/>
      <c r="C27" s="379"/>
      <c r="D27" s="415"/>
      <c r="E27" s="331"/>
      <c r="F27" s="331"/>
      <c r="G27" s="331"/>
      <c r="H27" s="331"/>
      <c r="I27" s="34">
        <f t="shared" si="0"/>
        <v>0</v>
      </c>
      <c r="J27" s="351" t="str">
        <f t="shared" si="3"/>
        <v/>
      </c>
      <c r="K27" s="332"/>
    </row>
    <row r="28" spans="1:11" ht="12.75" customHeight="1" x14ac:dyDescent="0.25">
      <c r="A28" s="507" t="str">
        <f t="shared" si="4"/>
        <v/>
      </c>
      <c r="B28" s="90"/>
      <c r="C28" s="379"/>
      <c r="D28" s="415"/>
      <c r="E28" s="331"/>
      <c r="F28" s="331"/>
      <c r="G28" s="331"/>
      <c r="H28" s="331"/>
      <c r="I28" s="34">
        <f t="shared" si="0"/>
        <v>0</v>
      </c>
      <c r="J28" s="351" t="str">
        <f t="shared" si="3"/>
        <v/>
      </c>
      <c r="K28" s="332"/>
    </row>
    <row r="29" spans="1:11" ht="12.75" customHeight="1" x14ac:dyDescent="0.25">
      <c r="A29" s="62" t="s">
        <v>834</v>
      </c>
      <c r="B29" s="127">
        <v>2</v>
      </c>
      <c r="C29" s="137">
        <f t="shared" ref="C29:H29" si="5">SUM(C19:C28)</f>
        <v>0</v>
      </c>
      <c r="D29" s="150">
        <f t="shared" si="5"/>
        <v>0</v>
      </c>
      <c r="E29" s="52">
        <f t="shared" si="5"/>
        <v>0</v>
      </c>
      <c r="F29" s="52">
        <f t="shared" si="5"/>
        <v>0</v>
      </c>
      <c r="G29" s="52">
        <f t="shared" si="5"/>
        <v>0</v>
      </c>
      <c r="H29" s="52">
        <f t="shared" si="5"/>
        <v>0</v>
      </c>
      <c r="I29" s="52">
        <f t="shared" si="0"/>
        <v>0</v>
      </c>
      <c r="J29" s="388" t="str">
        <f t="shared" si="3"/>
        <v/>
      </c>
      <c r="K29" s="79">
        <f>SUM(K19:K28)</f>
        <v>0</v>
      </c>
    </row>
    <row r="30" spans="1:11" ht="5.0999999999999996" customHeight="1" x14ac:dyDescent="0.25">
      <c r="A30" s="32"/>
      <c r="B30" s="90"/>
      <c r="C30" s="74"/>
      <c r="D30" s="148"/>
      <c r="E30" s="34"/>
      <c r="F30" s="34"/>
      <c r="G30" s="34"/>
      <c r="H30" s="34"/>
      <c r="I30" s="34"/>
      <c r="J30" s="351" t="str">
        <f t="shared" si="3"/>
        <v/>
      </c>
      <c r="K30" s="78"/>
    </row>
    <row r="31" spans="1:11" ht="12.75" customHeight="1" x14ac:dyDescent="0.25">
      <c r="A31" s="59" t="str">
        <f>Head42</f>
        <v>Surplus/ (Deficit) for the yr/period</v>
      </c>
      <c r="B31" s="90"/>
      <c r="C31" s="74">
        <f>C16-C29</f>
        <v>0</v>
      </c>
      <c r="D31" s="148">
        <f t="shared" ref="D31:K31" si="6">D16-D29</f>
        <v>0</v>
      </c>
      <c r="E31" s="34">
        <f t="shared" si="6"/>
        <v>0</v>
      </c>
      <c r="F31" s="34">
        <f t="shared" si="6"/>
        <v>0</v>
      </c>
      <c r="G31" s="34">
        <f t="shared" si="6"/>
        <v>0</v>
      </c>
      <c r="H31" s="34">
        <f t="shared" si="6"/>
        <v>0</v>
      </c>
      <c r="I31" s="34">
        <f>I16+I29</f>
        <v>0</v>
      </c>
      <c r="J31" s="351" t="str">
        <f t="shared" si="3"/>
        <v/>
      </c>
      <c r="K31" s="78">
        <f t="shared" si="6"/>
        <v>0</v>
      </c>
    </row>
    <row r="32" spans="1:11" ht="12.75" customHeight="1" x14ac:dyDescent="0.25">
      <c r="A32" s="29" t="s">
        <v>762</v>
      </c>
      <c r="B32" s="90"/>
      <c r="C32" s="74"/>
      <c r="D32" s="148"/>
      <c r="E32" s="34"/>
      <c r="F32" s="34"/>
      <c r="G32" s="34"/>
      <c r="H32" s="34"/>
      <c r="I32" s="34"/>
      <c r="J32" s="351"/>
      <c r="K32" s="78"/>
    </row>
    <row r="33" spans="1:11" ht="12.75" customHeight="1" x14ac:dyDescent="0.25">
      <c r="A33" s="599" t="str">
        <f>$A$6</f>
        <v>Insert name of municipal entity</v>
      </c>
      <c r="B33" s="90"/>
      <c r="C33" s="379"/>
      <c r="D33" s="415"/>
      <c r="E33" s="331"/>
      <c r="F33" s="331"/>
      <c r="G33" s="331"/>
      <c r="H33" s="331"/>
      <c r="I33" s="34">
        <f t="shared" si="0"/>
        <v>0</v>
      </c>
      <c r="J33" s="351" t="str">
        <f t="shared" si="3"/>
        <v/>
      </c>
      <c r="K33" s="332"/>
    </row>
    <row r="34" spans="1:11" ht="12.75" customHeight="1" x14ac:dyDescent="0.25">
      <c r="A34" s="507" t="str">
        <f>IF(A7="","",A7)</f>
        <v/>
      </c>
      <c r="B34" s="90"/>
      <c r="C34" s="379"/>
      <c r="D34" s="415"/>
      <c r="E34" s="331"/>
      <c r="F34" s="331"/>
      <c r="G34" s="331"/>
      <c r="H34" s="331"/>
      <c r="I34" s="34">
        <f t="shared" si="0"/>
        <v>0</v>
      </c>
      <c r="J34" s="351" t="str">
        <f t="shared" si="3"/>
        <v/>
      </c>
      <c r="K34" s="332"/>
    </row>
    <row r="35" spans="1:11" ht="12.75" customHeight="1" x14ac:dyDescent="0.25">
      <c r="A35" s="507" t="str">
        <f t="shared" ref="A35:A41" si="7">IF(A8="","",A8)</f>
        <v/>
      </c>
      <c r="B35" s="90"/>
      <c r="C35" s="379"/>
      <c r="D35" s="415"/>
      <c r="E35" s="331"/>
      <c r="F35" s="331"/>
      <c r="G35" s="331"/>
      <c r="H35" s="331"/>
      <c r="I35" s="34">
        <f t="shared" si="0"/>
        <v>0</v>
      </c>
      <c r="J35" s="351" t="str">
        <f t="shared" si="3"/>
        <v/>
      </c>
      <c r="K35" s="332"/>
    </row>
    <row r="36" spans="1:11" ht="12.75" customHeight="1" x14ac:dyDescent="0.25">
      <c r="A36" s="507" t="str">
        <f t="shared" si="7"/>
        <v/>
      </c>
      <c r="B36" s="90"/>
      <c r="C36" s="379"/>
      <c r="D36" s="415"/>
      <c r="E36" s="331"/>
      <c r="F36" s="331"/>
      <c r="G36" s="331"/>
      <c r="H36" s="331"/>
      <c r="I36" s="34">
        <f t="shared" si="0"/>
        <v>0</v>
      </c>
      <c r="J36" s="351" t="str">
        <f t="shared" si="3"/>
        <v/>
      </c>
      <c r="K36" s="332"/>
    </row>
    <row r="37" spans="1:11" ht="12.75" customHeight="1" x14ac:dyDescent="0.25">
      <c r="A37" s="507" t="str">
        <f t="shared" si="7"/>
        <v/>
      </c>
      <c r="B37" s="90"/>
      <c r="C37" s="379"/>
      <c r="D37" s="415"/>
      <c r="E37" s="331"/>
      <c r="F37" s="331"/>
      <c r="G37" s="331"/>
      <c r="H37" s="331"/>
      <c r="I37" s="34">
        <f t="shared" si="0"/>
        <v>0</v>
      </c>
      <c r="J37" s="351" t="str">
        <f t="shared" si="3"/>
        <v/>
      </c>
      <c r="K37" s="332"/>
    </row>
    <row r="38" spans="1:11" ht="12.75" customHeight="1" x14ac:dyDescent="0.25">
      <c r="A38" s="507" t="str">
        <f t="shared" si="7"/>
        <v/>
      </c>
      <c r="B38" s="90"/>
      <c r="C38" s="379"/>
      <c r="D38" s="415"/>
      <c r="E38" s="331"/>
      <c r="F38" s="331"/>
      <c r="G38" s="331"/>
      <c r="H38" s="331"/>
      <c r="I38" s="34">
        <f t="shared" si="0"/>
        <v>0</v>
      </c>
      <c r="J38" s="351" t="str">
        <f t="shared" si="3"/>
        <v/>
      </c>
      <c r="K38" s="332"/>
    </row>
    <row r="39" spans="1:11" ht="12.75" customHeight="1" x14ac:dyDescent="0.25">
      <c r="A39" s="507" t="str">
        <f t="shared" si="7"/>
        <v/>
      </c>
      <c r="B39" s="90"/>
      <c r="C39" s="379"/>
      <c r="D39" s="415"/>
      <c r="E39" s="331"/>
      <c r="F39" s="331"/>
      <c r="G39" s="331"/>
      <c r="H39" s="331"/>
      <c r="I39" s="34">
        <f t="shared" si="0"/>
        <v>0</v>
      </c>
      <c r="J39" s="351" t="str">
        <f t="shared" si="3"/>
        <v/>
      </c>
      <c r="K39" s="332"/>
    </row>
    <row r="40" spans="1:11" ht="12.75" customHeight="1" x14ac:dyDescent="0.25">
      <c r="A40" s="507" t="str">
        <f t="shared" si="7"/>
        <v/>
      </c>
      <c r="B40" s="90"/>
      <c r="C40" s="379"/>
      <c r="D40" s="415"/>
      <c r="E40" s="331"/>
      <c r="F40" s="331"/>
      <c r="G40" s="331"/>
      <c r="H40" s="331"/>
      <c r="I40" s="34">
        <f t="shared" si="0"/>
        <v>0</v>
      </c>
      <c r="J40" s="351" t="str">
        <f t="shared" si="3"/>
        <v/>
      </c>
      <c r="K40" s="332"/>
    </row>
    <row r="41" spans="1:11" ht="12.75" customHeight="1" x14ac:dyDescent="0.25">
      <c r="A41" s="507" t="str">
        <f t="shared" si="7"/>
        <v/>
      </c>
      <c r="B41" s="90"/>
      <c r="C41" s="379"/>
      <c r="D41" s="415"/>
      <c r="E41" s="331"/>
      <c r="F41" s="331"/>
      <c r="G41" s="331"/>
      <c r="H41" s="331"/>
      <c r="I41" s="34">
        <f t="shared" si="0"/>
        <v>0</v>
      </c>
      <c r="J41" s="351" t="str">
        <f t="shared" si="3"/>
        <v/>
      </c>
      <c r="K41" s="332"/>
    </row>
    <row r="42" spans="1:11" ht="5.0999999999999996" customHeight="1" x14ac:dyDescent="0.25">
      <c r="A42" s="507"/>
      <c r="B42" s="90"/>
      <c r="C42" s="379"/>
      <c r="D42" s="415"/>
      <c r="E42" s="331"/>
      <c r="F42" s="331"/>
      <c r="G42" s="331"/>
      <c r="H42" s="331"/>
      <c r="I42" s="34"/>
      <c r="J42" s="351" t="str">
        <f t="shared" si="3"/>
        <v/>
      </c>
      <c r="K42" s="332"/>
    </row>
    <row r="43" spans="1:11" ht="12.75" customHeight="1" x14ac:dyDescent="0.25">
      <c r="A43" s="40" t="s">
        <v>708</v>
      </c>
      <c r="B43" s="130">
        <v>3</v>
      </c>
      <c r="C43" s="71">
        <f>SUM(C32:C42)</f>
        <v>0</v>
      </c>
      <c r="D43" s="155">
        <f t="shared" ref="D43:K43" si="8">SUM(D32:D42)</f>
        <v>0</v>
      </c>
      <c r="E43" s="41">
        <f t="shared" si="8"/>
        <v>0</v>
      </c>
      <c r="F43" s="41">
        <f t="shared" si="8"/>
        <v>0</v>
      </c>
      <c r="G43" s="41">
        <f t="shared" si="8"/>
        <v>0</v>
      </c>
      <c r="H43" s="41">
        <f>SUM(H32:H42)</f>
        <v>0</v>
      </c>
      <c r="I43" s="41">
        <f>G43-H43</f>
        <v>0</v>
      </c>
      <c r="J43" s="581" t="str">
        <f t="shared" si="3"/>
        <v/>
      </c>
      <c r="K43" s="129">
        <f t="shared" si="8"/>
        <v>0</v>
      </c>
    </row>
    <row r="44" spans="1:11" ht="12.75" customHeight="1" x14ac:dyDescent="0.25">
      <c r="A44" s="64" t="str">
        <f>head27a</f>
        <v>References</v>
      </c>
      <c r="C44" s="33"/>
      <c r="D44" s="33"/>
      <c r="E44" s="33"/>
      <c r="F44" s="33"/>
      <c r="G44" s="33"/>
      <c r="H44" s="33"/>
      <c r="I44" s="33"/>
      <c r="J44" s="33"/>
      <c r="K44" s="33"/>
    </row>
    <row r="45" spans="1:11" ht="12.75" customHeight="1" x14ac:dyDescent="0.25">
      <c r="A45" s="73" t="s">
        <v>894</v>
      </c>
      <c r="C45" s="316"/>
      <c r="D45" s="316"/>
      <c r="E45" s="316"/>
      <c r="F45" s="316"/>
      <c r="G45" s="316"/>
      <c r="H45" s="316"/>
      <c r="I45" s="316"/>
      <c r="J45" s="316"/>
      <c r="K45" s="316"/>
    </row>
    <row r="46" spans="1:11" ht="12.75" customHeight="1" x14ac:dyDescent="0.25">
      <c r="A46" s="73" t="s">
        <v>895</v>
      </c>
      <c r="C46" s="316"/>
      <c r="D46" s="316"/>
      <c r="E46" s="316"/>
      <c r="F46" s="316"/>
      <c r="G46" s="316"/>
      <c r="H46" s="316"/>
      <c r="I46" s="316"/>
      <c r="J46" s="316"/>
      <c r="K46" s="316"/>
    </row>
    <row r="47" spans="1:11" ht="12.75" customHeight="1" x14ac:dyDescent="0.25">
      <c r="A47" s="315" t="s">
        <v>568</v>
      </c>
      <c r="C47" s="316"/>
      <c r="D47" s="316"/>
      <c r="E47" s="316"/>
      <c r="F47" s="316"/>
      <c r="G47" s="316"/>
      <c r="H47" s="316"/>
      <c r="I47" s="316"/>
      <c r="J47" s="316"/>
      <c r="K47" s="316"/>
    </row>
    <row r="48" spans="1:11" ht="12.75" customHeight="1" x14ac:dyDescent="0.25">
      <c r="A48" s="73" t="s">
        <v>590</v>
      </c>
      <c r="C48" s="316"/>
      <c r="D48" s="316"/>
      <c r="E48" s="316"/>
      <c r="F48" s="316"/>
      <c r="G48" s="316"/>
      <c r="H48" s="316"/>
      <c r="I48" s="316"/>
      <c r="J48" s="316"/>
      <c r="K48" s="316"/>
    </row>
    <row r="49" spans="1:11" ht="12.75" customHeight="1" x14ac:dyDescent="0.25">
      <c r="A49" s="600" t="s">
        <v>525</v>
      </c>
      <c r="B49" s="44"/>
      <c r="C49" s="375"/>
      <c r="D49" s="375"/>
      <c r="E49" s="375"/>
      <c r="F49" s="375"/>
      <c r="G49" s="375"/>
      <c r="H49" s="375"/>
      <c r="I49" s="375"/>
      <c r="J49" s="375"/>
      <c r="K49" s="375"/>
    </row>
    <row r="50" spans="1:11" ht="11.25" customHeight="1" x14ac:dyDescent="0.25">
      <c r="A50" s="45"/>
      <c r="B50" s="44"/>
      <c r="C50" s="375"/>
      <c r="D50" s="375"/>
      <c r="E50" s="375"/>
      <c r="F50" s="375"/>
      <c r="G50" s="375"/>
      <c r="H50" s="375"/>
      <c r="I50" s="375"/>
      <c r="J50" s="375"/>
      <c r="K50" s="375"/>
    </row>
    <row r="51" spans="1:11" ht="11.25" customHeight="1" x14ac:dyDescent="0.25">
      <c r="B51" s="21"/>
    </row>
    <row r="52" spans="1:11" ht="11.25" customHeight="1" x14ac:dyDescent="0.25">
      <c r="B52" s="21"/>
    </row>
    <row r="53" spans="1:11" x14ac:dyDescent="0.25">
      <c r="B53" s="21"/>
    </row>
    <row r="54" spans="1:11" ht="11.25" customHeight="1" x14ac:dyDescent="0.25">
      <c r="B54" s="21"/>
    </row>
    <row r="55" spans="1:11" ht="11.25" customHeight="1" x14ac:dyDescent="0.25">
      <c r="B55" s="21"/>
    </row>
    <row r="56" spans="1:11" ht="11.25" customHeight="1" x14ac:dyDescent="0.25">
      <c r="B56" s="21"/>
    </row>
    <row r="57" spans="1:11" x14ac:dyDescent="0.25">
      <c r="B57" s="21"/>
    </row>
    <row r="58" spans="1:11" ht="11.25" customHeight="1" x14ac:dyDescent="0.25">
      <c r="B58" s="21"/>
    </row>
    <row r="59" spans="1:11" ht="11.25" customHeight="1" x14ac:dyDescent="0.25">
      <c r="B59" s="21"/>
    </row>
    <row r="60" spans="1:11" x14ac:dyDescent="0.25">
      <c r="B60" s="21"/>
    </row>
    <row r="61" spans="1:11" ht="11.25" customHeight="1" x14ac:dyDescent="0.25">
      <c r="B61" s="21"/>
    </row>
    <row r="62" spans="1:11" ht="11.25" customHeight="1" x14ac:dyDescent="0.25">
      <c r="B62" s="21"/>
    </row>
    <row r="63" spans="1:11" ht="11.25" customHeight="1" x14ac:dyDescent="0.25">
      <c r="B63" s="21"/>
    </row>
    <row r="64" spans="1:11" ht="11.25" customHeight="1" x14ac:dyDescent="0.25">
      <c r="B64" s="21"/>
    </row>
    <row r="65" spans="2:2" ht="11.25" customHeight="1" x14ac:dyDescent="0.25">
      <c r="B65" s="21"/>
    </row>
    <row r="66" spans="2:2" ht="11.25" customHeight="1" x14ac:dyDescent="0.25">
      <c r="B66" s="21"/>
    </row>
    <row r="67" spans="2:2" ht="11.25" customHeight="1" x14ac:dyDescent="0.25">
      <c r="B67" s="21"/>
    </row>
    <row r="68" spans="2:2" ht="11.25" customHeight="1" x14ac:dyDescent="0.25">
      <c r="B68" s="21"/>
    </row>
    <row r="69" spans="2:2" ht="11.25" customHeight="1" x14ac:dyDescent="0.25">
      <c r="B69" s="21"/>
    </row>
    <row r="70" spans="2:2" ht="11.25" customHeight="1" x14ac:dyDescent="0.25">
      <c r="B70" s="21"/>
    </row>
    <row r="71" spans="2:2" ht="11.25" customHeight="1" x14ac:dyDescent="0.25">
      <c r="B71" s="21"/>
    </row>
    <row r="72" spans="2:2" ht="11.25" customHeight="1" x14ac:dyDescent="0.25">
      <c r="B72" s="21"/>
    </row>
    <row r="73" spans="2:2" ht="11.25" customHeight="1" x14ac:dyDescent="0.25">
      <c r="B73" s="21"/>
    </row>
    <row r="74" spans="2:2" ht="11.25" customHeight="1" x14ac:dyDescent="0.25">
      <c r="B74" s="21"/>
    </row>
    <row r="75" spans="2:2" ht="11.25" customHeight="1" x14ac:dyDescent="0.25">
      <c r="B75" s="21"/>
    </row>
    <row r="76" spans="2:2" ht="11.25" customHeight="1" x14ac:dyDescent="0.25">
      <c r="B76" s="21"/>
    </row>
    <row r="77" spans="2:2" ht="11.25" customHeight="1" x14ac:dyDescent="0.25">
      <c r="B77" s="21"/>
    </row>
    <row r="78" spans="2:2" ht="11.25" customHeight="1" x14ac:dyDescent="0.25">
      <c r="B78" s="21"/>
    </row>
    <row r="79" spans="2:2" ht="11.25" customHeight="1" x14ac:dyDescent="0.25">
      <c r="B79" s="21"/>
    </row>
    <row r="80" spans="2:2" ht="11.25" customHeight="1" x14ac:dyDescent="0.25">
      <c r="B80" s="21"/>
    </row>
    <row r="81" spans="2:2" ht="11.25" customHeight="1" x14ac:dyDescent="0.25">
      <c r="B81" s="21"/>
    </row>
    <row r="82" spans="2:2" ht="11.25" customHeight="1" x14ac:dyDescent="0.25">
      <c r="B82" s="21"/>
    </row>
    <row r="83" spans="2:2" ht="11.25" customHeight="1" x14ac:dyDescent="0.25">
      <c r="B83" s="21"/>
    </row>
    <row r="84" spans="2:2" ht="11.25" customHeight="1" x14ac:dyDescent="0.25"/>
    <row r="85" spans="2:2" ht="11.25" customHeight="1" x14ac:dyDescent="0.25"/>
  </sheetData>
  <mergeCells count="4">
    <mergeCell ref="A2:A3"/>
    <mergeCell ref="B2:B3"/>
    <mergeCell ref="A1:K1"/>
    <mergeCell ref="D2:K2"/>
  </mergeCells>
  <phoneticPr fontId="2" type="noConversion"/>
  <printOptions horizontalCentered="1"/>
  <pageMargins left="0.15748031496062992" right="0.19685039370078741" top="0.78740157480314965" bottom="0.59055118110236227" header="0.51181102362204722" footer="0.39370078740157483"/>
  <pageSetup paperSize="8" scale="110" orientation="portrait" r:id="rId1"/>
  <headerFooter alignWithMargins="0">
    <oddFooter>&amp;L&amp;F&amp;C&amp;A&amp;R&amp;D</oddFooter>
  </headerFooter>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sheetPr>
  <dimension ref="A1:J59"/>
  <sheetViews>
    <sheetView showGridLines="0" zoomScaleNormal="100" workbookViewId="0">
      <pane xSplit="1" ySplit="4" topLeftCell="B5" activePane="bottomRight" state="frozen"/>
      <selection pane="topRight"/>
      <selection pane="bottomLeft"/>
      <selection pane="bottomRight" sqref="A1:J1"/>
    </sheetView>
  </sheetViews>
  <sheetFormatPr defaultColWidth="9.28515625" defaultRowHeight="12.75" x14ac:dyDescent="0.25"/>
  <cols>
    <col min="1" max="1" width="35.28515625" style="21" customWidth="1"/>
    <col min="2" max="7" width="8.7109375" style="21" customWidth="1"/>
    <col min="8" max="9" width="6.7109375" style="21" customWidth="1"/>
    <col min="10" max="10" width="8.7109375" style="21" customWidth="1"/>
    <col min="11" max="11" width="38.28515625" style="21" bestFit="1" customWidth="1"/>
    <col min="12" max="12" width="9.5703125" style="21" customWidth="1"/>
    <col min="13" max="13" width="9.7109375" style="21" customWidth="1"/>
    <col min="14" max="16" width="9.5703125" style="21" customWidth="1"/>
    <col min="17" max="18" width="9.7109375" style="21" customWidth="1"/>
    <col min="19" max="16384" width="9.28515625" style="21"/>
  </cols>
  <sheetData>
    <row r="1" spans="1:10" ht="13.5" x14ac:dyDescent="0.25">
      <c r="A1" s="848" t="str">
        <f>muni&amp; " - "&amp;S71R&amp; " - "&amp;Head57</f>
        <v>KZN282 uMhlathuze - Supporting Table SC12 Monthly Budget Statement - capital expenditure trend - M10 April</v>
      </c>
      <c r="B1" s="848"/>
      <c r="C1" s="848"/>
      <c r="D1" s="848"/>
      <c r="E1" s="848"/>
      <c r="F1" s="848"/>
      <c r="G1" s="848"/>
      <c r="H1" s="848"/>
      <c r="I1" s="848"/>
      <c r="J1" s="848"/>
    </row>
    <row r="2" spans="1:10" x14ac:dyDescent="0.25">
      <c r="A2" s="837" t="s">
        <v>818</v>
      </c>
      <c r="B2" s="75" t="str">
        <f>Head1</f>
        <v>2023/24</v>
      </c>
      <c r="C2" s="832" t="str">
        <f>Head2</f>
        <v>Budget Year 2024/25</v>
      </c>
      <c r="D2" s="833"/>
      <c r="E2" s="833"/>
      <c r="F2" s="833"/>
      <c r="G2" s="833"/>
      <c r="H2" s="833"/>
      <c r="I2" s="833"/>
      <c r="J2" s="834"/>
    </row>
    <row r="3" spans="1:10" ht="38.25" x14ac:dyDescent="0.25">
      <c r="A3" s="838"/>
      <c r="B3" s="84" t="str">
        <f>Head5</f>
        <v>Audited Outcome</v>
      </c>
      <c r="C3" s="147" t="str">
        <f>Head6</f>
        <v>Original Budget</v>
      </c>
      <c r="D3" s="76" t="str">
        <f>Head7</f>
        <v>Adjusted Budget</v>
      </c>
      <c r="E3" s="76" t="str">
        <f>Head38</f>
        <v>Monthly actual</v>
      </c>
      <c r="F3" s="76" t="str">
        <f>Head39</f>
        <v>YearTD actual</v>
      </c>
      <c r="G3" s="76" t="str">
        <f>Head40</f>
        <v>YearTD budget</v>
      </c>
      <c r="H3" s="76" t="str">
        <f>Head41</f>
        <v>YTD variance</v>
      </c>
      <c r="I3" s="376" t="str">
        <f>Head41</f>
        <v>YTD variance</v>
      </c>
      <c r="J3" s="86" t="s">
        <v>61</v>
      </c>
    </row>
    <row r="4" spans="1:10" x14ac:dyDescent="0.25">
      <c r="A4" s="519" t="s">
        <v>615</v>
      </c>
      <c r="B4" s="520"/>
      <c r="C4" s="549"/>
      <c r="D4" s="522"/>
      <c r="E4" s="523"/>
      <c r="F4" s="523"/>
      <c r="G4" s="523"/>
      <c r="H4" s="523"/>
      <c r="I4" s="524" t="s">
        <v>528</v>
      </c>
      <c r="J4" s="525"/>
    </row>
    <row r="5" spans="1:10" ht="12.75" customHeight="1" x14ac:dyDescent="0.25">
      <c r="A5" s="29" t="s">
        <v>430</v>
      </c>
      <c r="B5" s="74"/>
      <c r="C5" s="148"/>
      <c r="D5" s="34"/>
      <c r="E5" s="34"/>
      <c r="F5" s="34"/>
      <c r="G5" s="34"/>
      <c r="H5" s="34"/>
      <c r="I5" s="189"/>
      <c r="J5" s="78"/>
    </row>
    <row r="6" spans="1:10" ht="12.75" customHeight="1" x14ac:dyDescent="0.25">
      <c r="A6" s="30" t="s">
        <v>728</v>
      </c>
      <c r="B6" s="379">
        <f>SC12Q!B4</f>
        <v>4535061.28</v>
      </c>
      <c r="C6" s="366">
        <f>SC12Q!C4</f>
        <v>16640900</v>
      </c>
      <c r="D6" s="415">
        <f>SC12Q!D4</f>
        <v>57121340.789999999</v>
      </c>
      <c r="E6" s="415">
        <f>SC12Q!E4</f>
        <v>57121340.789999999</v>
      </c>
      <c r="F6" s="148">
        <f>IF(E6&gt;0,E6,"")</f>
        <v>57121340.789999999</v>
      </c>
      <c r="G6" s="34">
        <f>IF(D6&gt;0,D6,C6)</f>
        <v>57121340.789999999</v>
      </c>
      <c r="H6" s="34">
        <f t="shared" ref="H6:H16" si="0">IF(F6="",0,G6-F6)</f>
        <v>0</v>
      </c>
      <c r="I6" s="189" t="str">
        <f t="shared" ref="I6:I16" si="1">IF(F6="","",IF(H6=0,"",H6/G6))</f>
        <v/>
      </c>
      <c r="J6" s="241">
        <f t="shared" ref="J6:J16" si="2">IF(F6="","",F6/$C$18)</f>
        <v>9.3489200859582913E-2</v>
      </c>
    </row>
    <row r="7" spans="1:10" ht="12.75" customHeight="1" x14ac:dyDescent="0.25">
      <c r="A7" s="30" t="s">
        <v>835</v>
      </c>
      <c r="B7" s="379">
        <f>SC12Q!B5</f>
        <v>103758970.09999999</v>
      </c>
      <c r="C7" s="366">
        <f>SC12Q!C5</f>
        <v>67822300</v>
      </c>
      <c r="D7" s="415">
        <f>SC12Q!D5</f>
        <v>54919434.43</v>
      </c>
      <c r="E7" s="415">
        <f>SC12Q!E5</f>
        <v>54919434.43</v>
      </c>
      <c r="F7" s="148">
        <f>IF(E7&gt;0,E7+F6,"")</f>
        <v>112040775.22</v>
      </c>
      <c r="G7" s="34">
        <f>IF(D7&gt;0,D7+D6,C7+C6)</f>
        <v>112040775.22</v>
      </c>
      <c r="H7" s="34">
        <f t="shared" si="0"/>
        <v>0</v>
      </c>
      <c r="I7" s="189" t="str">
        <f t="shared" si="1"/>
        <v/>
      </c>
      <c r="J7" s="241">
        <f t="shared" si="2"/>
        <v>0.18337459159991751</v>
      </c>
    </row>
    <row r="8" spans="1:10" ht="12.75" customHeight="1" x14ac:dyDescent="0.25">
      <c r="A8" s="30" t="s">
        <v>497</v>
      </c>
      <c r="B8" s="379">
        <f>SC12Q!B6</f>
        <v>85606992.560000002</v>
      </c>
      <c r="C8" s="366">
        <f>SC12Q!C6</f>
        <v>49320600</v>
      </c>
      <c r="D8" s="415">
        <f>SC12Q!D6</f>
        <v>25025378.09</v>
      </c>
      <c r="E8" s="415">
        <f>SC12Q!E6</f>
        <v>25025378.09</v>
      </c>
      <c r="F8" s="148">
        <f t="shared" ref="F8:F17" si="3">IF(E8&gt;0,E8+F7,"")</f>
        <v>137066153.31</v>
      </c>
      <c r="G8" s="34">
        <f>IF(D8&gt;0,D8+G7,C8+G7)</f>
        <v>137066153.31</v>
      </c>
      <c r="H8" s="34">
        <f t="shared" si="0"/>
        <v>0</v>
      </c>
      <c r="I8" s="189" t="str">
        <f t="shared" si="1"/>
        <v/>
      </c>
      <c r="J8" s="241">
        <f t="shared" si="2"/>
        <v>0.22433305942447881</v>
      </c>
    </row>
    <row r="9" spans="1:10" ht="12.75" customHeight="1" x14ac:dyDescent="0.25">
      <c r="A9" s="30" t="s">
        <v>836</v>
      </c>
      <c r="B9" s="379">
        <f>SC12Q!B7</f>
        <v>101131229.33</v>
      </c>
      <c r="C9" s="366">
        <f>SC12Q!C7</f>
        <v>79875300</v>
      </c>
      <c r="D9" s="415">
        <f>SC12Q!D7</f>
        <v>46598499.659999996</v>
      </c>
      <c r="E9" s="415">
        <f>SC12Q!E7</f>
        <v>46598499.659999996</v>
      </c>
      <c r="F9" s="148">
        <f t="shared" si="3"/>
        <v>183664652.97</v>
      </c>
      <c r="G9" s="34">
        <f t="shared" ref="G9:G17" si="4">IF(D9&gt;0,D9+G8,C9+G8)</f>
        <v>183664652.97</v>
      </c>
      <c r="H9" s="34">
        <f t="shared" si="0"/>
        <v>0</v>
      </c>
      <c r="I9" s="189" t="str">
        <f t="shared" si="1"/>
        <v/>
      </c>
      <c r="J9" s="241">
        <f t="shared" si="2"/>
        <v>0.30059976525137727</v>
      </c>
    </row>
    <row r="10" spans="1:10" ht="12.75" customHeight="1" x14ac:dyDescent="0.25">
      <c r="A10" s="30" t="s">
        <v>837</v>
      </c>
      <c r="B10" s="379">
        <f>SC12Q!B8</f>
        <v>44444850.619999997</v>
      </c>
      <c r="C10" s="366">
        <f>SC12Q!C8</f>
        <v>76092700</v>
      </c>
      <c r="D10" s="415">
        <f>SC12Q!D8</f>
        <v>52505587.329999998</v>
      </c>
      <c r="E10" s="415">
        <f>SC12Q!E8</f>
        <v>52505587.329999998</v>
      </c>
      <c r="F10" s="148">
        <f t="shared" si="3"/>
        <v>236170240.30000001</v>
      </c>
      <c r="G10" s="34">
        <f t="shared" si="4"/>
        <v>236170240.30000001</v>
      </c>
      <c r="H10" s="34">
        <f t="shared" si="0"/>
        <v>0</v>
      </c>
      <c r="I10" s="189" t="str">
        <f t="shared" si="1"/>
        <v/>
      </c>
      <c r="J10" s="241">
        <f t="shared" si="2"/>
        <v>0.38653446727791108</v>
      </c>
    </row>
    <row r="11" spans="1:10" ht="12.75" customHeight="1" x14ac:dyDescent="0.25">
      <c r="A11" s="30" t="s">
        <v>838</v>
      </c>
      <c r="B11" s="379">
        <f>SC12Q!B9</f>
        <v>123482370.41</v>
      </c>
      <c r="C11" s="366">
        <f>SC12Q!C9</f>
        <v>67629800</v>
      </c>
      <c r="D11" s="415">
        <f>SC12Q!D9</f>
        <v>43812712.109999999</v>
      </c>
      <c r="E11" s="415">
        <f>SC12Q!E9</f>
        <v>43812712.109999999</v>
      </c>
      <c r="F11" s="148">
        <f t="shared" si="3"/>
        <v>279982952.41000003</v>
      </c>
      <c r="G11" s="34">
        <f t="shared" si="4"/>
        <v>279982952.41000003</v>
      </c>
      <c r="H11" s="34">
        <f t="shared" si="0"/>
        <v>0</v>
      </c>
      <c r="I11" s="189" t="str">
        <f t="shared" si="1"/>
        <v/>
      </c>
      <c r="J11" s="241">
        <f t="shared" si="2"/>
        <v>0.45824173790577327</v>
      </c>
    </row>
    <row r="12" spans="1:10" ht="12.75" customHeight="1" x14ac:dyDescent="0.25">
      <c r="A12" s="30" t="s">
        <v>839</v>
      </c>
      <c r="B12" s="379">
        <f>SC12Q!B10</f>
        <v>26809154.739999998</v>
      </c>
      <c r="C12" s="366">
        <f>SC12Q!C10</f>
        <v>58814000</v>
      </c>
      <c r="D12" s="415">
        <f>SC12Q!D10</f>
        <v>28262641.75</v>
      </c>
      <c r="E12" s="415">
        <f>SC12Q!E10</f>
        <v>28262641.75</v>
      </c>
      <c r="F12" s="148">
        <f t="shared" si="3"/>
        <v>308245594.16000003</v>
      </c>
      <c r="G12" s="34">
        <f t="shared" si="4"/>
        <v>308245594.16000003</v>
      </c>
      <c r="H12" s="34">
        <f t="shared" si="0"/>
        <v>0</v>
      </c>
      <c r="I12" s="189" t="str">
        <f t="shared" si="1"/>
        <v/>
      </c>
      <c r="J12" s="241">
        <f t="shared" si="2"/>
        <v>0.50449856162253648</v>
      </c>
    </row>
    <row r="13" spans="1:10" ht="12.75" customHeight="1" x14ac:dyDescent="0.25">
      <c r="A13" s="30" t="s">
        <v>840</v>
      </c>
      <c r="B13" s="379">
        <f>SC12Q!B11</f>
        <v>42619673.32</v>
      </c>
      <c r="C13" s="366">
        <f>SC12Q!C11</f>
        <v>57829900</v>
      </c>
      <c r="D13" s="415">
        <f>SC12Q!D11</f>
        <v>62844413.770000003</v>
      </c>
      <c r="E13" s="415">
        <f>SC12Q!E11</f>
        <v>24798875.129999999</v>
      </c>
      <c r="F13" s="148">
        <f t="shared" si="3"/>
        <v>333044469.29000002</v>
      </c>
      <c r="G13" s="34">
        <f t="shared" si="4"/>
        <v>371090007.93000001</v>
      </c>
      <c r="H13" s="34">
        <f t="shared" si="0"/>
        <v>38045538.639999986</v>
      </c>
      <c r="I13" s="189">
        <f t="shared" si="1"/>
        <v>0.10252374848954879</v>
      </c>
      <c r="J13" s="241">
        <f t="shared" si="2"/>
        <v>0.54508631719787759</v>
      </c>
    </row>
    <row r="14" spans="1:10" ht="12.75" customHeight="1" x14ac:dyDescent="0.25">
      <c r="A14" s="30" t="s">
        <v>841</v>
      </c>
      <c r="B14" s="379">
        <f>SC12Q!B12</f>
        <v>113992367.58</v>
      </c>
      <c r="C14" s="366">
        <f>SC12Q!C12</f>
        <v>47815500</v>
      </c>
      <c r="D14" s="415">
        <f>SC12Q!D12</f>
        <v>59511964.159999996</v>
      </c>
      <c r="E14" s="415">
        <f>SC12Q!E12</f>
        <v>39484984.439999998</v>
      </c>
      <c r="F14" s="148">
        <f t="shared" si="3"/>
        <v>372529453.73000002</v>
      </c>
      <c r="G14" s="34">
        <f t="shared" si="4"/>
        <v>430601972.09000003</v>
      </c>
      <c r="H14" s="34">
        <f t="shared" si="0"/>
        <v>58072518.360000014</v>
      </c>
      <c r="I14" s="189">
        <f t="shared" si="1"/>
        <v>0.1348635680374039</v>
      </c>
      <c r="J14" s="241">
        <f t="shared" si="2"/>
        <v>0.60971049426017276</v>
      </c>
    </row>
    <row r="15" spans="1:10" ht="12.75" customHeight="1" x14ac:dyDescent="0.25">
      <c r="A15" s="30" t="s">
        <v>842</v>
      </c>
      <c r="B15" s="379">
        <f>SC12Q!B13</f>
        <v>32876689.350000001</v>
      </c>
      <c r="C15" s="366">
        <f>SC12Q!C13</f>
        <v>55902500</v>
      </c>
      <c r="D15" s="415">
        <f>SC12Q!D13</f>
        <v>64643962.310000002</v>
      </c>
      <c r="E15" s="415">
        <f>SC12Q!E13</f>
        <v>32044528.370000001</v>
      </c>
      <c r="F15" s="148">
        <f t="shared" si="3"/>
        <v>404573982.10000002</v>
      </c>
      <c r="G15" s="34">
        <f t="shared" si="4"/>
        <v>495245934.40000004</v>
      </c>
      <c r="H15" s="34">
        <f t="shared" si="0"/>
        <v>90671952.300000012</v>
      </c>
      <c r="I15" s="189">
        <f t="shared" si="1"/>
        <v>0.18308469792861767</v>
      </c>
      <c r="J15" s="601">
        <f t="shared" si="2"/>
        <v>0.66215704589570445</v>
      </c>
    </row>
    <row r="16" spans="1:10" ht="12.75" customHeight="1" x14ac:dyDescent="0.25">
      <c r="A16" s="30" t="s">
        <v>843</v>
      </c>
      <c r="B16" s="379">
        <f>SC12Q!B14</f>
        <v>54778304.130000003</v>
      </c>
      <c r="C16" s="366">
        <f>SC12Q!C14</f>
        <v>22763000</v>
      </c>
      <c r="D16" s="415">
        <f>SC12Q!D14</f>
        <v>66599084.619999997</v>
      </c>
      <c r="E16" s="415">
        <f>SC12Q!E14</f>
        <v>0</v>
      </c>
      <c r="F16" s="148" t="str">
        <f t="shared" si="3"/>
        <v/>
      </c>
      <c r="G16" s="34">
        <f t="shared" si="4"/>
        <v>561845019.01999998</v>
      </c>
      <c r="H16" s="34">
        <f t="shared" si="0"/>
        <v>0</v>
      </c>
      <c r="I16" s="189" t="str">
        <f t="shared" si="1"/>
        <v/>
      </c>
      <c r="J16" s="601" t="str">
        <f t="shared" si="2"/>
        <v/>
      </c>
    </row>
    <row r="17" spans="1:10" ht="12.75" customHeight="1" x14ac:dyDescent="0.25">
      <c r="A17" s="602" t="s">
        <v>844</v>
      </c>
      <c r="B17" s="379">
        <f>SC12Q!B15</f>
        <v>59484050.799999997</v>
      </c>
      <c r="C17" s="366">
        <f>SC12Q!C15</f>
        <v>10487500</v>
      </c>
      <c r="D17" s="415">
        <f>SC12Q!D15</f>
        <v>65960180.979999997</v>
      </c>
      <c r="E17" s="415">
        <f>SC12Q!E15</f>
        <v>0</v>
      </c>
      <c r="F17" s="608" t="str">
        <f t="shared" si="3"/>
        <v/>
      </c>
      <c r="G17" s="65">
        <f t="shared" si="4"/>
        <v>627805200</v>
      </c>
      <c r="H17" s="65">
        <f>IF(F17="",0,G17-F17)</f>
        <v>0</v>
      </c>
      <c r="I17" s="545" t="str">
        <f>IF(F17="","",IF(H17=0,"",H17/G17))</f>
        <v/>
      </c>
      <c r="J17" s="603" t="str">
        <f>IF(F17="","",F17/$C$18)</f>
        <v/>
      </c>
    </row>
    <row r="18" spans="1:10" ht="12.75" customHeight="1" x14ac:dyDescent="0.25">
      <c r="A18" s="63" t="s">
        <v>519</v>
      </c>
      <c r="B18" s="138">
        <f>SUM(B6:B17)</f>
        <v>793519714.21999991</v>
      </c>
      <c r="C18" s="401">
        <f>SUM(C6:C17)</f>
        <v>610994000</v>
      </c>
      <c r="D18" s="154">
        <f>SUM(D6:D17)</f>
        <v>627805200</v>
      </c>
      <c r="E18" s="55">
        <f>SUM(E6:E17)</f>
        <v>404573982.10000002</v>
      </c>
      <c r="F18" s="402"/>
      <c r="G18" s="402"/>
      <c r="H18" s="402"/>
      <c r="I18" s="604"/>
      <c r="J18" s="128"/>
    </row>
    <row r="19" spans="1:10" ht="12.75" customHeight="1" x14ac:dyDescent="0.25">
      <c r="B19" s="58"/>
      <c r="C19" s="58"/>
      <c r="D19" s="58"/>
      <c r="E19" s="58"/>
      <c r="F19" s="58"/>
      <c r="G19" s="58"/>
      <c r="H19" s="58"/>
      <c r="I19" s="58"/>
      <c r="J19" s="58"/>
    </row>
    <row r="20" spans="1:10" ht="12.75" customHeight="1" x14ac:dyDescent="0.25"/>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8" scale="105" orientation="portrait" r:id="rId1"/>
  <headerFooter alignWithMargins="0">
    <oddFooter>&amp;L&amp;F&amp;C&amp;A&amp;R&amp;D</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K16"/>
  <sheetViews>
    <sheetView workbookViewId="0"/>
  </sheetViews>
  <sheetFormatPr defaultRowHeight="12.75" x14ac:dyDescent="0.2"/>
  <cols>
    <col min="1" max="1" width="12.7109375" bestFit="1" customWidth="1"/>
    <col min="2" max="2" width="15" bestFit="1" customWidth="1"/>
    <col min="3" max="3" width="13.5703125" bestFit="1" customWidth="1"/>
    <col min="4" max="4" width="14.28515625" bestFit="1" customWidth="1"/>
    <col min="5" max="5" width="13.7109375" bestFit="1" customWidth="1"/>
    <col min="6" max="6" width="17.85546875" bestFit="1" customWidth="1"/>
    <col min="7" max="7" width="17.7109375" bestFit="1" customWidth="1"/>
    <col min="8" max="8" width="12.7109375" bestFit="1" customWidth="1"/>
    <col min="9" max="9" width="19.7109375" bestFit="1" customWidth="1"/>
    <col min="10" max="10" width="23.5703125" bestFit="1" customWidth="1"/>
    <col min="11" max="11" width="19.7109375" bestFit="1" customWidth="1"/>
  </cols>
  <sheetData>
    <row r="1" spans="1:11" x14ac:dyDescent="0.2">
      <c r="A1" s="630" t="s">
        <v>973</v>
      </c>
      <c r="B1" s="630" t="s">
        <v>471</v>
      </c>
      <c r="C1" s="630" t="s">
        <v>558</v>
      </c>
      <c r="D1" s="630" t="s">
        <v>773</v>
      </c>
      <c r="E1" s="630" t="s">
        <v>1545</v>
      </c>
      <c r="F1" s="630" t="s">
        <v>1546</v>
      </c>
      <c r="G1" s="630" t="s">
        <v>1547</v>
      </c>
      <c r="H1" s="630" t="s">
        <v>1548</v>
      </c>
      <c r="I1" s="630" t="s">
        <v>1549</v>
      </c>
      <c r="J1" s="630" t="s">
        <v>61</v>
      </c>
      <c r="K1" s="630" t="s">
        <v>1764</v>
      </c>
    </row>
    <row r="2" spans="1:11" x14ac:dyDescent="0.2">
      <c r="A2" s="630" t="s">
        <v>1647</v>
      </c>
      <c r="B2" s="630" t="s">
        <v>973</v>
      </c>
      <c r="C2" s="630" t="s">
        <v>973</v>
      </c>
      <c r="D2" s="630" t="s">
        <v>973</v>
      </c>
      <c r="E2" s="630" t="s">
        <v>973</v>
      </c>
      <c r="F2" s="630" t="s">
        <v>973</v>
      </c>
      <c r="G2" s="630" t="s">
        <v>973</v>
      </c>
      <c r="H2" s="630" t="s">
        <v>973</v>
      </c>
      <c r="I2" s="630" t="s">
        <v>528</v>
      </c>
      <c r="J2" s="630" t="s">
        <v>528</v>
      </c>
      <c r="K2" s="630" t="s">
        <v>973</v>
      </c>
    </row>
    <row r="3" spans="1:11" x14ac:dyDescent="0.2">
      <c r="A3" s="630" t="s">
        <v>1659</v>
      </c>
      <c r="B3">
        <v>797757097.45000005</v>
      </c>
      <c r="C3">
        <v>610994000</v>
      </c>
      <c r="D3">
        <v>627805200</v>
      </c>
      <c r="E3">
        <v>404573982.10000002</v>
      </c>
      <c r="J3">
        <v>66.215704589570393</v>
      </c>
      <c r="K3">
        <v>610994000</v>
      </c>
    </row>
    <row r="4" spans="1:11" x14ac:dyDescent="0.2">
      <c r="A4" s="630" t="s">
        <v>1648</v>
      </c>
      <c r="B4">
        <v>4535061.28</v>
      </c>
      <c r="C4">
        <v>16640900</v>
      </c>
      <c r="D4">
        <v>57121340.789999999</v>
      </c>
      <c r="E4">
        <v>57121340.789999999</v>
      </c>
      <c r="F4">
        <v>57121340.789999999</v>
      </c>
      <c r="G4">
        <v>57121340.789999999</v>
      </c>
      <c r="H4">
        <v>0</v>
      </c>
      <c r="I4">
        <v>0</v>
      </c>
      <c r="J4">
        <v>9.3489200859582908</v>
      </c>
      <c r="K4">
        <v>610994000</v>
      </c>
    </row>
    <row r="5" spans="1:11" x14ac:dyDescent="0.2">
      <c r="A5" s="630" t="s">
        <v>1649</v>
      </c>
      <c r="B5">
        <v>103758970.09999999</v>
      </c>
      <c r="C5">
        <v>67822300</v>
      </c>
      <c r="D5">
        <v>54919434.43</v>
      </c>
      <c r="E5">
        <v>54919434.43</v>
      </c>
      <c r="F5">
        <v>112040775.22</v>
      </c>
      <c r="G5">
        <v>112040775.22</v>
      </c>
      <c r="H5">
        <v>0</v>
      </c>
      <c r="I5">
        <v>0</v>
      </c>
      <c r="J5">
        <v>8.9885390740334596</v>
      </c>
      <c r="K5">
        <v>610994000</v>
      </c>
    </row>
    <row r="6" spans="1:11" x14ac:dyDescent="0.2">
      <c r="A6" s="630" t="s">
        <v>1650</v>
      </c>
      <c r="B6">
        <v>85606992.560000002</v>
      </c>
      <c r="C6">
        <v>49320600</v>
      </c>
      <c r="D6">
        <v>25025378.09</v>
      </c>
      <c r="E6">
        <v>25025378.09</v>
      </c>
      <c r="F6">
        <v>137066153.31</v>
      </c>
      <c r="G6">
        <v>137066153.31</v>
      </c>
      <c r="H6">
        <v>0</v>
      </c>
      <c r="I6">
        <v>0</v>
      </c>
      <c r="J6">
        <v>4.09584678245613</v>
      </c>
      <c r="K6">
        <v>610994000</v>
      </c>
    </row>
    <row r="7" spans="1:11" x14ac:dyDescent="0.2">
      <c r="A7" s="630" t="s">
        <v>1651</v>
      </c>
      <c r="B7">
        <v>101131229.33</v>
      </c>
      <c r="C7">
        <v>79875300</v>
      </c>
      <c r="D7">
        <v>46598499.659999996</v>
      </c>
      <c r="E7">
        <v>46598499.659999996</v>
      </c>
      <c r="F7">
        <v>183664652.97</v>
      </c>
      <c r="G7">
        <v>183664652.97</v>
      </c>
      <c r="H7">
        <v>0</v>
      </c>
      <c r="I7">
        <v>0</v>
      </c>
      <c r="J7">
        <v>7.62667058268985</v>
      </c>
      <c r="K7">
        <v>610994000</v>
      </c>
    </row>
    <row r="8" spans="1:11" x14ac:dyDescent="0.2">
      <c r="A8" s="630" t="s">
        <v>1652</v>
      </c>
      <c r="B8">
        <v>44444850.619999997</v>
      </c>
      <c r="C8">
        <v>76092700</v>
      </c>
      <c r="D8">
        <v>52505587.329999998</v>
      </c>
      <c r="E8">
        <v>52505587.329999998</v>
      </c>
      <c r="F8">
        <v>236170240.30000001</v>
      </c>
      <c r="G8">
        <v>236170240.30000001</v>
      </c>
      <c r="H8">
        <v>0</v>
      </c>
      <c r="I8">
        <v>0</v>
      </c>
      <c r="J8">
        <v>8.5934702026533802</v>
      </c>
      <c r="K8">
        <v>610994000</v>
      </c>
    </row>
    <row r="9" spans="1:11" x14ac:dyDescent="0.2">
      <c r="A9" s="630" t="s">
        <v>1653</v>
      </c>
      <c r="B9">
        <v>123482370.41</v>
      </c>
      <c r="C9">
        <v>67629800</v>
      </c>
      <c r="D9">
        <v>43812712.109999999</v>
      </c>
      <c r="E9">
        <v>43812712.109999999</v>
      </c>
      <c r="F9">
        <v>279982952.41000003</v>
      </c>
      <c r="G9">
        <v>279982952.41000003</v>
      </c>
      <c r="H9">
        <v>0</v>
      </c>
      <c r="I9">
        <v>0</v>
      </c>
      <c r="J9">
        <v>7.1707270627862103</v>
      </c>
      <c r="K9">
        <v>610994000</v>
      </c>
    </row>
    <row r="10" spans="1:11" x14ac:dyDescent="0.2">
      <c r="A10" s="630" t="s">
        <v>1654</v>
      </c>
      <c r="B10">
        <v>26809154.739999998</v>
      </c>
      <c r="C10">
        <v>58814000</v>
      </c>
      <c r="D10">
        <v>28262641.75</v>
      </c>
      <c r="E10">
        <v>28262641.75</v>
      </c>
      <c r="F10">
        <v>308245594.16000003</v>
      </c>
      <c r="G10">
        <v>308245594.16000003</v>
      </c>
      <c r="H10">
        <v>0</v>
      </c>
      <c r="I10">
        <v>0</v>
      </c>
      <c r="J10">
        <v>4.6256823716763202</v>
      </c>
      <c r="K10">
        <v>610994000</v>
      </c>
    </row>
    <row r="11" spans="1:11" x14ac:dyDescent="0.2">
      <c r="A11" s="630" t="s">
        <v>1655</v>
      </c>
      <c r="B11">
        <v>42619673.32</v>
      </c>
      <c r="C11">
        <v>57829900</v>
      </c>
      <c r="D11">
        <v>62844413.770000003</v>
      </c>
      <c r="E11">
        <v>24798875.129999999</v>
      </c>
      <c r="F11">
        <v>333044469.29000002</v>
      </c>
      <c r="G11">
        <v>371090007.93000001</v>
      </c>
      <c r="H11">
        <v>-38045538.640000001</v>
      </c>
      <c r="I11">
        <v>-60.539252986335903</v>
      </c>
      <c r="J11">
        <v>4.05877555753412</v>
      </c>
      <c r="K11">
        <v>610994000</v>
      </c>
    </row>
    <row r="12" spans="1:11" x14ac:dyDescent="0.2">
      <c r="A12" s="630" t="s">
        <v>1656</v>
      </c>
      <c r="B12">
        <v>113992367.58</v>
      </c>
      <c r="C12">
        <v>47815500</v>
      </c>
      <c r="D12">
        <v>59511964.159999996</v>
      </c>
      <c r="E12">
        <v>39484984.439999998</v>
      </c>
      <c r="F12">
        <v>372529453.73000002</v>
      </c>
      <c r="G12">
        <v>430601972.09000003</v>
      </c>
      <c r="H12">
        <v>-20026979.719999999</v>
      </c>
      <c r="I12">
        <v>-33.652022753201003</v>
      </c>
      <c r="J12">
        <v>6.4624177062295196</v>
      </c>
      <c r="K12">
        <v>610994000</v>
      </c>
    </row>
    <row r="13" spans="1:11" x14ac:dyDescent="0.2">
      <c r="A13" s="630" t="s">
        <v>1657</v>
      </c>
      <c r="B13">
        <v>32876689.350000001</v>
      </c>
      <c r="C13">
        <v>55902500</v>
      </c>
      <c r="D13">
        <v>64643962.310000002</v>
      </c>
      <c r="E13">
        <v>32044528.370000001</v>
      </c>
      <c r="F13">
        <v>404573982.10000002</v>
      </c>
      <c r="G13">
        <v>495245934.40000004</v>
      </c>
      <c r="H13">
        <v>-32599433.940000001</v>
      </c>
      <c r="I13">
        <v>-50.429201390331698</v>
      </c>
      <c r="J13">
        <v>5.2446551635531602</v>
      </c>
      <c r="K13">
        <v>610994000</v>
      </c>
    </row>
    <row r="14" spans="1:11" x14ac:dyDescent="0.2">
      <c r="A14" s="630" t="s">
        <v>1658</v>
      </c>
      <c r="B14">
        <v>54778304.130000003</v>
      </c>
      <c r="C14">
        <v>22763000</v>
      </c>
      <c r="D14">
        <v>66599084.619999997</v>
      </c>
      <c r="F14">
        <v>404573982.10000002</v>
      </c>
      <c r="G14">
        <v>561845019.01999998</v>
      </c>
      <c r="H14">
        <v>-66599084.619999997</v>
      </c>
      <c r="I14">
        <v>-100</v>
      </c>
      <c r="K14">
        <v>610994000</v>
      </c>
    </row>
    <row r="15" spans="1:11" x14ac:dyDescent="0.2">
      <c r="A15" s="630" t="s">
        <v>1758</v>
      </c>
      <c r="B15">
        <v>59484050.799999997</v>
      </c>
      <c r="C15">
        <v>10487500</v>
      </c>
      <c r="D15">
        <v>65960180.979999997</v>
      </c>
      <c r="F15">
        <v>404573982.10000002</v>
      </c>
      <c r="G15">
        <v>561845019.01999998</v>
      </c>
      <c r="K15">
        <v>610994000</v>
      </c>
    </row>
    <row r="16" spans="1:11" x14ac:dyDescent="0.2">
      <c r="A16" s="630" t="s">
        <v>1759</v>
      </c>
      <c r="B16">
        <v>4237383.2300000004</v>
      </c>
      <c r="F16">
        <v>404573982.10000002</v>
      </c>
      <c r="G16">
        <v>561845019.01999998</v>
      </c>
      <c r="K16">
        <v>610994000</v>
      </c>
    </row>
  </sheetData>
  <pageMargins left="0.7" right="0.7" top="0.75" bottom="0.75" header="0.3" footer="0.3"/>
  <customProperties>
    <customPr name="_pios_id" r:id="rId1"/>
    <customPr name="CofWorksheetType"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sheetPr>
  <dimension ref="A1:K212"/>
  <sheetViews>
    <sheetView showGridLines="0" zoomScaleNormal="10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34.28515625" style="21" bestFit="1" customWidth="1"/>
    <col min="2" max="2" width="3.28515625" style="47" customWidth="1"/>
    <col min="3" max="8" width="8.7109375" style="21" customWidth="1"/>
    <col min="9"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x14ac:dyDescent="0.25">
      <c r="A1" s="851" t="str">
        <f>muni&amp; " - "&amp;S71Sa&amp; " - "&amp;Head57</f>
        <v>KZN282 uMhlathuze - Supporting Table SC13a Monthly Budget Statement - capital expenditure on new assets by asset class - M10 April</v>
      </c>
      <c r="B1" s="851"/>
      <c r="C1" s="851"/>
      <c r="D1" s="851"/>
      <c r="E1" s="851"/>
      <c r="F1" s="851"/>
      <c r="G1" s="851"/>
      <c r="H1" s="851"/>
      <c r="I1" s="851"/>
      <c r="J1" s="851"/>
      <c r="K1" s="851"/>
    </row>
    <row r="2" spans="1:11" x14ac:dyDescent="0.25">
      <c r="A2" s="837" t="str">
        <f>desc</f>
        <v>Description</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47"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519" t="s">
        <v>615</v>
      </c>
      <c r="B4" s="141">
        <v>1</v>
      </c>
      <c r="C4" s="520"/>
      <c r="D4" s="549"/>
      <c r="E4" s="522"/>
      <c r="F4" s="523"/>
      <c r="G4" s="523"/>
      <c r="H4" s="523"/>
      <c r="I4" s="523"/>
      <c r="J4" s="524" t="s">
        <v>528</v>
      </c>
      <c r="K4" s="525"/>
    </row>
    <row r="5" spans="1:11" ht="12.75" customHeight="1" x14ac:dyDescent="0.25">
      <c r="A5" s="92" t="s">
        <v>811</v>
      </c>
      <c r="B5" s="90"/>
      <c r="C5" s="74"/>
      <c r="D5" s="148"/>
      <c r="E5" s="34"/>
      <c r="F5" s="34"/>
      <c r="G5" s="34"/>
      <c r="H5" s="34"/>
      <c r="I5" s="34"/>
      <c r="J5" s="533"/>
      <c r="K5" s="78"/>
    </row>
    <row r="6" spans="1:11" ht="5.0999999999999996" customHeight="1" x14ac:dyDescent="0.25">
      <c r="A6" s="29"/>
      <c r="B6" s="90"/>
      <c r="C6" s="74"/>
      <c r="D6" s="148"/>
      <c r="E6" s="34"/>
      <c r="F6" s="34"/>
      <c r="G6" s="34"/>
      <c r="H6" s="34"/>
      <c r="I6" s="34"/>
      <c r="J6" s="189"/>
      <c r="K6" s="78"/>
    </row>
    <row r="7" spans="1:11" ht="12.75" customHeight="1" x14ac:dyDescent="0.25">
      <c r="A7" s="29" t="s">
        <v>592</v>
      </c>
      <c r="B7" s="90"/>
      <c r="C7" s="69">
        <f t="shared" ref="C7:H7" si="0">C8+C13+C17+C27+C38+C45+C53+C63+C69</f>
        <v>314113554.82000005</v>
      </c>
      <c r="D7" s="39">
        <f t="shared" si="0"/>
        <v>219444700</v>
      </c>
      <c r="E7" s="38">
        <f t="shared" si="0"/>
        <v>179266900</v>
      </c>
      <c r="F7" s="38">
        <f t="shared" si="0"/>
        <v>7926767.1900000004</v>
      </c>
      <c r="G7" s="38">
        <f t="shared" si="0"/>
        <v>102931990.14999999</v>
      </c>
      <c r="H7" s="149">
        <f t="shared" si="0"/>
        <v>136262268.83000001</v>
      </c>
      <c r="I7" s="65">
        <f t="shared" ref="I7:I70" si="1">H7-G7</f>
        <v>33330278.680000022</v>
      </c>
      <c r="J7" s="605">
        <f>IF(H7=0,"",I7/H7)</f>
        <v>0.24460387285626864</v>
      </c>
      <c r="K7" s="96">
        <f>K8+K13+K17+K27+K38+K45+K53+K63+K69</f>
        <v>179266900</v>
      </c>
    </row>
    <row r="8" spans="1:11" ht="12.75" customHeight="1" x14ac:dyDescent="0.25">
      <c r="A8" s="30" t="s">
        <v>1119</v>
      </c>
      <c r="B8" s="90"/>
      <c r="C8" s="596">
        <f t="shared" ref="C8:H8" si="2">SUM(C9:C12)</f>
        <v>80434869.49000001</v>
      </c>
      <c r="D8" s="597">
        <f t="shared" si="2"/>
        <v>39746000</v>
      </c>
      <c r="E8" s="328">
        <f t="shared" si="2"/>
        <v>41883200</v>
      </c>
      <c r="F8" s="328">
        <f t="shared" si="2"/>
        <v>311833.64</v>
      </c>
      <c r="G8" s="328">
        <f t="shared" si="2"/>
        <v>29575318.739999998</v>
      </c>
      <c r="H8" s="328">
        <f t="shared" si="2"/>
        <v>35029634.420000002</v>
      </c>
      <c r="I8" s="148">
        <f t="shared" si="1"/>
        <v>5454315.6800000034</v>
      </c>
      <c r="J8" s="34">
        <f t="shared" ref="J8:J24" si="3">IF(H8=0,"",I8/H8)</f>
        <v>0.15570575515015617</v>
      </c>
      <c r="K8" s="329">
        <f>SUM(K9:K12)</f>
        <v>41883200</v>
      </c>
    </row>
    <row r="9" spans="1:11" ht="12.75" customHeight="1" x14ac:dyDescent="0.25">
      <c r="A9" s="606" t="s">
        <v>150</v>
      </c>
      <c r="B9" s="90"/>
      <c r="C9" s="366">
        <f>SC13AQ!B6</f>
        <v>72385615.680000007</v>
      </c>
      <c r="D9" s="366">
        <f>SC13AQ!C6</f>
        <v>38746000</v>
      </c>
      <c r="E9" s="331">
        <f>SC13AQ!D6</f>
        <v>40883200</v>
      </c>
      <c r="F9" s="331">
        <f>SC13AQ!E6</f>
        <v>311833.64</v>
      </c>
      <c r="G9" s="331">
        <f>SC13AQ!F6</f>
        <v>29575318.739999998</v>
      </c>
      <c r="H9" s="331">
        <f>SC13AQ!G6</f>
        <v>34529634.420000002</v>
      </c>
      <c r="I9" s="148">
        <f t="shared" si="1"/>
        <v>4954315.6800000034</v>
      </c>
      <c r="J9" s="34">
        <f t="shared" si="3"/>
        <v>0.14348010812215264</v>
      </c>
      <c r="K9" s="332">
        <f>SC13AQ!J6</f>
        <v>40883200</v>
      </c>
    </row>
    <row r="10" spans="1:11" ht="12.75" customHeight="1" x14ac:dyDescent="0.25">
      <c r="A10" s="606" t="s">
        <v>1120</v>
      </c>
      <c r="B10" s="90"/>
      <c r="C10" s="366">
        <f>SC13AQ!B7</f>
        <v>8049253.8099999996</v>
      </c>
      <c r="D10" s="366">
        <f>SC13AQ!C7</f>
        <v>1000000</v>
      </c>
      <c r="E10" s="331">
        <f>SC13AQ!D7</f>
        <v>1000000</v>
      </c>
      <c r="F10" s="331">
        <f>SC13AQ!E7</f>
        <v>0</v>
      </c>
      <c r="G10" s="331">
        <f>SC13AQ!F7</f>
        <v>0</v>
      </c>
      <c r="H10" s="331">
        <f>SC13AQ!G7</f>
        <v>500000</v>
      </c>
      <c r="I10" s="148">
        <f t="shared" si="1"/>
        <v>500000</v>
      </c>
      <c r="J10" s="34">
        <f t="shared" si="3"/>
        <v>1</v>
      </c>
      <c r="K10" s="332">
        <f>SC13AQ!J7</f>
        <v>1000000</v>
      </c>
    </row>
    <row r="11" spans="1:11" ht="12.75" customHeight="1" x14ac:dyDescent="0.25">
      <c r="A11" s="606" t="s">
        <v>1121</v>
      </c>
      <c r="B11" s="90"/>
      <c r="C11" s="366">
        <f>SC13AQ!B8</f>
        <v>0</v>
      </c>
      <c r="D11" s="366">
        <f>SC13AQ!C8</f>
        <v>0</v>
      </c>
      <c r="E11" s="331">
        <f>SC13AQ!D8</f>
        <v>0</v>
      </c>
      <c r="F11" s="331">
        <f>SC13AQ!E8</f>
        <v>0</v>
      </c>
      <c r="G11" s="331">
        <f>SC13AQ!F8</f>
        <v>0</v>
      </c>
      <c r="H11" s="331">
        <f>SC13AQ!G8</f>
        <v>0</v>
      </c>
      <c r="I11" s="148">
        <f t="shared" si="1"/>
        <v>0</v>
      </c>
      <c r="J11" s="34" t="str">
        <f t="shared" si="3"/>
        <v/>
      </c>
      <c r="K11" s="332">
        <f>SC13AQ!J8</f>
        <v>0</v>
      </c>
    </row>
    <row r="12" spans="1:11" ht="12.75" customHeight="1" x14ac:dyDescent="0.25">
      <c r="A12" s="606" t="s">
        <v>1122</v>
      </c>
      <c r="B12" s="90"/>
      <c r="C12" s="366">
        <f>SC13AQ!B9</f>
        <v>0</v>
      </c>
      <c r="D12" s="366">
        <f>SC13AQ!C9</f>
        <v>0</v>
      </c>
      <c r="E12" s="331">
        <f>SC13AQ!D9</f>
        <v>0</v>
      </c>
      <c r="F12" s="331">
        <f>SC13AQ!E9</f>
        <v>0</v>
      </c>
      <c r="G12" s="331">
        <f>SC13AQ!F9</f>
        <v>0</v>
      </c>
      <c r="H12" s="331">
        <f>SC13AQ!G9</f>
        <v>0</v>
      </c>
      <c r="I12" s="148">
        <f t="shared" si="1"/>
        <v>0</v>
      </c>
      <c r="J12" s="34" t="str">
        <f t="shared" si="3"/>
        <v/>
      </c>
      <c r="K12" s="332">
        <f>SC13AQ!J9</f>
        <v>0</v>
      </c>
    </row>
    <row r="13" spans="1:11" ht="12.75" customHeight="1" x14ac:dyDescent="0.25">
      <c r="A13" s="30" t="s">
        <v>1123</v>
      </c>
      <c r="B13" s="90"/>
      <c r="C13" s="74">
        <f t="shared" ref="C13:H13" si="4">SUM(C14:C16)</f>
        <v>3999895.52</v>
      </c>
      <c r="D13" s="148">
        <f t="shared" si="4"/>
        <v>13515000</v>
      </c>
      <c r="E13" s="34">
        <f t="shared" si="4"/>
        <v>18715000</v>
      </c>
      <c r="F13" s="34">
        <f t="shared" si="4"/>
        <v>403261.06</v>
      </c>
      <c r="G13" s="34">
        <f t="shared" si="4"/>
        <v>26475543.489999998</v>
      </c>
      <c r="H13" s="34">
        <f t="shared" si="4"/>
        <v>21234603.93</v>
      </c>
      <c r="I13" s="148">
        <f t="shared" si="1"/>
        <v>-5240939.5599999987</v>
      </c>
      <c r="J13" s="34">
        <f t="shared" si="3"/>
        <v>-0.24681126981585283</v>
      </c>
      <c r="K13" s="78">
        <f>SUM(K14:K16)</f>
        <v>18715000</v>
      </c>
    </row>
    <row r="14" spans="1:11" ht="12.75" customHeight="1" x14ac:dyDescent="0.25">
      <c r="A14" s="606" t="s">
        <v>1124</v>
      </c>
      <c r="B14" s="90"/>
      <c r="C14" s="379">
        <f>SC13AQ!B11</f>
        <v>0</v>
      </c>
      <c r="D14" s="415">
        <f>SC13AQ!C11</f>
        <v>0</v>
      </c>
      <c r="E14" s="331">
        <f>SC13AQ!D11</f>
        <v>0</v>
      </c>
      <c r="F14" s="331">
        <f>SC13AQ!E11</f>
        <v>0</v>
      </c>
      <c r="G14" s="331">
        <f>SC13AQ!F11</f>
        <v>0</v>
      </c>
      <c r="H14" s="331">
        <f>SC13AQ!G11</f>
        <v>0</v>
      </c>
      <c r="I14" s="148">
        <f t="shared" si="1"/>
        <v>0</v>
      </c>
      <c r="J14" s="34" t="str">
        <f t="shared" si="3"/>
        <v/>
      </c>
      <c r="K14" s="332">
        <f>SC13AQ!J11</f>
        <v>0</v>
      </c>
    </row>
    <row r="15" spans="1:11" ht="12.75" customHeight="1" x14ac:dyDescent="0.25">
      <c r="A15" s="606" t="s">
        <v>1125</v>
      </c>
      <c r="B15" s="90"/>
      <c r="C15" s="379">
        <f>SC13AQ!B12</f>
        <v>3999895.52</v>
      </c>
      <c r="D15" s="415">
        <f>SC13AQ!C12</f>
        <v>13515000</v>
      </c>
      <c r="E15" s="331">
        <f>SC13AQ!D12</f>
        <v>18715000</v>
      </c>
      <c r="F15" s="331">
        <f>SC13AQ!E12</f>
        <v>403261.06</v>
      </c>
      <c r="G15" s="331">
        <f>SC13AQ!F12</f>
        <v>26475543.489999998</v>
      </c>
      <c r="H15" s="331">
        <f>SC13AQ!G12</f>
        <v>21234603.93</v>
      </c>
      <c r="I15" s="148">
        <f t="shared" si="1"/>
        <v>-5240939.5599999987</v>
      </c>
      <c r="J15" s="34">
        <f t="shared" si="3"/>
        <v>-0.24681126981585283</v>
      </c>
      <c r="K15" s="332">
        <f>SC13AQ!J12</f>
        <v>18715000</v>
      </c>
    </row>
    <row r="16" spans="1:11" ht="12.75" customHeight="1" x14ac:dyDescent="0.25">
      <c r="A16" s="606" t="s">
        <v>1126</v>
      </c>
      <c r="B16" s="90"/>
      <c r="C16" s="379">
        <f>SC13AQ!B13</f>
        <v>0</v>
      </c>
      <c r="D16" s="415">
        <f>SC13AQ!C13</f>
        <v>0</v>
      </c>
      <c r="E16" s="331">
        <f>SC13AQ!D13</f>
        <v>0</v>
      </c>
      <c r="F16" s="331">
        <f>SC13AQ!E13</f>
        <v>0</v>
      </c>
      <c r="G16" s="331">
        <f>SC13AQ!F13</f>
        <v>0</v>
      </c>
      <c r="H16" s="331">
        <f>SC13AQ!G13</f>
        <v>0</v>
      </c>
      <c r="I16" s="148">
        <f t="shared" si="1"/>
        <v>0</v>
      </c>
      <c r="J16" s="34" t="str">
        <f t="shared" si="3"/>
        <v/>
      </c>
      <c r="K16" s="332">
        <f>SC13AQ!J13</f>
        <v>0</v>
      </c>
    </row>
    <row r="17" spans="1:11" ht="12.75" customHeight="1" x14ac:dyDescent="0.25">
      <c r="A17" s="30" t="s">
        <v>1127</v>
      </c>
      <c r="B17" s="90"/>
      <c r="C17" s="74">
        <f t="shared" ref="C17:H17" si="5">SUM(C18:C26)</f>
        <v>31799923.629999999</v>
      </c>
      <c r="D17" s="148">
        <f t="shared" si="5"/>
        <v>32965000</v>
      </c>
      <c r="E17" s="34">
        <f t="shared" si="5"/>
        <v>19410000</v>
      </c>
      <c r="F17" s="34">
        <f t="shared" si="5"/>
        <v>1273221</v>
      </c>
      <c r="G17" s="34">
        <f t="shared" si="5"/>
        <v>4650688.2300000004</v>
      </c>
      <c r="H17" s="34">
        <f t="shared" si="5"/>
        <v>6083095.54</v>
      </c>
      <c r="I17" s="148">
        <f t="shared" si="1"/>
        <v>1432407.3099999996</v>
      </c>
      <c r="J17" s="34">
        <f t="shared" si="3"/>
        <v>0.23547341983716397</v>
      </c>
      <c r="K17" s="78">
        <f>SUM(K18:K26)</f>
        <v>19410000</v>
      </c>
    </row>
    <row r="18" spans="1:11" ht="12.75" customHeight="1" x14ac:dyDescent="0.25">
      <c r="A18" s="606" t="s">
        <v>1128</v>
      </c>
      <c r="B18" s="90"/>
      <c r="C18" s="379">
        <f>SC13AQ!B15</f>
        <v>0</v>
      </c>
      <c r="D18" s="415">
        <f>SC13AQ!C15</f>
        <v>0</v>
      </c>
      <c r="E18" s="331">
        <f>SC13AQ!D15</f>
        <v>0</v>
      </c>
      <c r="F18" s="331">
        <f>SC13AQ!E15</f>
        <v>0</v>
      </c>
      <c r="G18" s="331">
        <f>SC13AQ!F15</f>
        <v>0</v>
      </c>
      <c r="H18" s="331">
        <f>SC13AQ!G15</f>
        <v>0</v>
      </c>
      <c r="I18" s="148">
        <f t="shared" si="1"/>
        <v>0</v>
      </c>
      <c r="J18" s="34" t="str">
        <f t="shared" si="3"/>
        <v/>
      </c>
      <c r="K18" s="332">
        <f>SC13AQ!J15</f>
        <v>0</v>
      </c>
    </row>
    <row r="19" spans="1:11" ht="12.75" customHeight="1" x14ac:dyDescent="0.25">
      <c r="A19" s="606" t="s">
        <v>1129</v>
      </c>
      <c r="B19" s="90"/>
      <c r="C19" s="379">
        <f>SC13AQ!B16</f>
        <v>0</v>
      </c>
      <c r="D19" s="415">
        <f>SC13AQ!C16</f>
        <v>0</v>
      </c>
      <c r="E19" s="331">
        <f>SC13AQ!D16</f>
        <v>0</v>
      </c>
      <c r="F19" s="331">
        <f>SC13AQ!E16</f>
        <v>0</v>
      </c>
      <c r="G19" s="331">
        <f>SC13AQ!F16</f>
        <v>0</v>
      </c>
      <c r="H19" s="331">
        <f>SC13AQ!G16</f>
        <v>0</v>
      </c>
      <c r="I19" s="148">
        <f t="shared" si="1"/>
        <v>0</v>
      </c>
      <c r="J19" s="34" t="str">
        <f t="shared" si="3"/>
        <v/>
      </c>
      <c r="K19" s="332">
        <f>SC13AQ!J16</f>
        <v>0</v>
      </c>
    </row>
    <row r="20" spans="1:11" ht="12.75" customHeight="1" x14ac:dyDescent="0.25">
      <c r="A20" s="606" t="s">
        <v>1130</v>
      </c>
      <c r="B20" s="90"/>
      <c r="C20" s="379">
        <f>SC13AQ!B17</f>
        <v>0</v>
      </c>
      <c r="D20" s="415">
        <f>SC13AQ!C17</f>
        <v>0</v>
      </c>
      <c r="E20" s="331">
        <f>SC13AQ!D17</f>
        <v>0</v>
      </c>
      <c r="F20" s="331">
        <f>SC13AQ!E17</f>
        <v>0</v>
      </c>
      <c r="G20" s="331">
        <f>SC13AQ!F17</f>
        <v>0</v>
      </c>
      <c r="H20" s="331">
        <f>SC13AQ!G17</f>
        <v>0</v>
      </c>
      <c r="I20" s="148">
        <f t="shared" si="1"/>
        <v>0</v>
      </c>
      <c r="J20" s="34" t="str">
        <f t="shared" si="3"/>
        <v/>
      </c>
      <c r="K20" s="332">
        <f>SC13AQ!J17</f>
        <v>0</v>
      </c>
    </row>
    <row r="21" spans="1:11" ht="12.75" customHeight="1" x14ac:dyDescent="0.25">
      <c r="A21" s="606" t="s">
        <v>1131</v>
      </c>
      <c r="B21" s="90"/>
      <c r="C21" s="379">
        <f>SC13AQ!B18</f>
        <v>0</v>
      </c>
      <c r="D21" s="415">
        <f>SC13AQ!C18</f>
        <v>0</v>
      </c>
      <c r="E21" s="331">
        <f>SC13AQ!D18</f>
        <v>0</v>
      </c>
      <c r="F21" s="331">
        <f>SC13AQ!E18</f>
        <v>0</v>
      </c>
      <c r="G21" s="331">
        <f>SC13AQ!F18</f>
        <v>0</v>
      </c>
      <c r="H21" s="331">
        <f>SC13AQ!G18</f>
        <v>0</v>
      </c>
      <c r="I21" s="148">
        <f t="shared" si="1"/>
        <v>0</v>
      </c>
      <c r="J21" s="34" t="str">
        <f t="shared" si="3"/>
        <v/>
      </c>
      <c r="K21" s="332">
        <f>SC13AQ!J18</f>
        <v>0</v>
      </c>
    </row>
    <row r="22" spans="1:11" ht="12.75" customHeight="1" x14ac:dyDescent="0.25">
      <c r="A22" s="606" t="s">
        <v>1132</v>
      </c>
      <c r="B22" s="90"/>
      <c r="C22" s="379">
        <f>SC13AQ!B19</f>
        <v>0</v>
      </c>
      <c r="D22" s="415">
        <f>SC13AQ!C19</f>
        <v>0</v>
      </c>
      <c r="E22" s="331">
        <f>SC13AQ!D19</f>
        <v>0</v>
      </c>
      <c r="F22" s="331">
        <f>SC13AQ!E19</f>
        <v>0</v>
      </c>
      <c r="G22" s="331">
        <f>SC13AQ!F19</f>
        <v>0</v>
      </c>
      <c r="H22" s="331">
        <f>SC13AQ!G19</f>
        <v>0</v>
      </c>
      <c r="I22" s="148">
        <f t="shared" si="1"/>
        <v>0</v>
      </c>
      <c r="J22" s="34" t="str">
        <f t="shared" si="3"/>
        <v/>
      </c>
      <c r="K22" s="332">
        <f>SC13AQ!J19</f>
        <v>0</v>
      </c>
    </row>
    <row r="23" spans="1:11" ht="12.75" customHeight="1" x14ac:dyDescent="0.25">
      <c r="A23" s="606" t="s">
        <v>1133</v>
      </c>
      <c r="B23" s="90"/>
      <c r="C23" s="379">
        <f>SC13AQ!B20</f>
        <v>0</v>
      </c>
      <c r="D23" s="415">
        <f>SC13AQ!C20</f>
        <v>0</v>
      </c>
      <c r="E23" s="331">
        <f>SC13AQ!D20</f>
        <v>0</v>
      </c>
      <c r="F23" s="331">
        <f>SC13AQ!E20</f>
        <v>0</v>
      </c>
      <c r="G23" s="331">
        <f>SC13AQ!F20</f>
        <v>0</v>
      </c>
      <c r="H23" s="331">
        <f>SC13AQ!G20</f>
        <v>0</v>
      </c>
      <c r="I23" s="148">
        <f t="shared" si="1"/>
        <v>0</v>
      </c>
      <c r="J23" s="34" t="str">
        <f t="shared" si="3"/>
        <v/>
      </c>
      <c r="K23" s="332">
        <f>SC13AQ!J20</f>
        <v>0</v>
      </c>
    </row>
    <row r="24" spans="1:11" ht="12.75" customHeight="1" x14ac:dyDescent="0.25">
      <c r="A24" s="606" t="s">
        <v>1134</v>
      </c>
      <c r="B24" s="90"/>
      <c r="C24" s="379">
        <f>SC13AQ!B21</f>
        <v>31559177.629999999</v>
      </c>
      <c r="D24" s="415">
        <f>SC13AQ!C21</f>
        <v>31872000</v>
      </c>
      <c r="E24" s="331">
        <f>SC13AQ!D21</f>
        <v>18317000</v>
      </c>
      <c r="F24" s="331">
        <f>SC13AQ!E21</f>
        <v>1273221</v>
      </c>
      <c r="G24" s="331">
        <f>SC13AQ!F21</f>
        <v>4650688.2300000004</v>
      </c>
      <c r="H24" s="331">
        <f>SC13AQ!G21</f>
        <v>5290095.54</v>
      </c>
      <c r="I24" s="148">
        <f t="shared" si="1"/>
        <v>639407.30999999959</v>
      </c>
      <c r="J24" s="34">
        <f t="shared" si="3"/>
        <v>0.12086876412065699</v>
      </c>
      <c r="K24" s="332">
        <f>SC13AQ!J21</f>
        <v>18317000</v>
      </c>
    </row>
    <row r="25" spans="1:11" ht="12.75" customHeight="1" x14ac:dyDescent="0.25">
      <c r="A25" s="606" t="s">
        <v>1135</v>
      </c>
      <c r="B25" s="90"/>
      <c r="C25" s="379">
        <f>SC13AQ!B22</f>
        <v>240746</v>
      </c>
      <c r="D25" s="415">
        <f>SC13AQ!C22</f>
        <v>1093000</v>
      </c>
      <c r="E25" s="331">
        <f>SC13AQ!D22</f>
        <v>1093000</v>
      </c>
      <c r="F25" s="331">
        <f>SC13AQ!E22</f>
        <v>0</v>
      </c>
      <c r="G25" s="331">
        <f>SC13AQ!F22</f>
        <v>0</v>
      </c>
      <c r="H25" s="331">
        <f>SC13AQ!G22</f>
        <v>793000</v>
      </c>
      <c r="I25" s="148">
        <f t="shared" si="1"/>
        <v>793000</v>
      </c>
      <c r="J25" s="34">
        <f>IF(H25=0,"",I25/H25)</f>
        <v>1</v>
      </c>
      <c r="K25" s="332">
        <f>SC13AQ!J22</f>
        <v>1093000</v>
      </c>
    </row>
    <row r="26" spans="1:11" ht="12.75" customHeight="1" x14ac:dyDescent="0.25">
      <c r="A26" s="606" t="s">
        <v>1122</v>
      </c>
      <c r="B26" s="90"/>
      <c r="C26" s="379">
        <f>SC13AQ!B23</f>
        <v>0</v>
      </c>
      <c r="D26" s="415">
        <f>SC13AQ!C23</f>
        <v>0</v>
      </c>
      <c r="E26" s="331">
        <f>SC13AQ!D23</f>
        <v>0</v>
      </c>
      <c r="F26" s="331">
        <f>SC13AQ!E23</f>
        <v>0</v>
      </c>
      <c r="G26" s="331">
        <f>SC13AQ!F23</f>
        <v>0</v>
      </c>
      <c r="H26" s="331">
        <f>SC13AQ!G23</f>
        <v>0</v>
      </c>
      <c r="I26" s="148">
        <f t="shared" si="1"/>
        <v>0</v>
      </c>
      <c r="J26" s="34" t="str">
        <f t="shared" ref="J26:J70" si="6">IF(I26=0,"",I26/H26)</f>
        <v/>
      </c>
      <c r="K26" s="332">
        <f>SC13AQ!J23</f>
        <v>0</v>
      </c>
    </row>
    <row r="27" spans="1:11" ht="12.75" customHeight="1" x14ac:dyDescent="0.25">
      <c r="A27" s="30" t="s">
        <v>1136</v>
      </c>
      <c r="B27" s="90"/>
      <c r="C27" s="74">
        <f t="shared" ref="C27:H27" si="7">SUM(C28:C37)</f>
        <v>159139614.86000001</v>
      </c>
      <c r="D27" s="148">
        <f t="shared" si="7"/>
        <v>125229700</v>
      </c>
      <c r="E27" s="34">
        <f t="shared" si="7"/>
        <v>89988700</v>
      </c>
      <c r="F27" s="34">
        <f t="shared" si="7"/>
        <v>5538122</v>
      </c>
      <c r="G27" s="34">
        <f t="shared" si="7"/>
        <v>36306305.229999997</v>
      </c>
      <c r="H27" s="34">
        <f t="shared" si="7"/>
        <v>64695723.670000002</v>
      </c>
      <c r="I27" s="148">
        <f t="shared" si="1"/>
        <v>28389418.440000005</v>
      </c>
      <c r="J27" s="34">
        <f>IF(H27=0,"",I27/H27)</f>
        <v>0.43881445062441488</v>
      </c>
      <c r="K27" s="78">
        <f>SUM(K28:K37)</f>
        <v>89988700</v>
      </c>
    </row>
    <row r="28" spans="1:11" ht="12.75" customHeight="1" x14ac:dyDescent="0.25">
      <c r="A28" s="606" t="s">
        <v>1137</v>
      </c>
      <c r="B28" s="90"/>
      <c r="C28" s="379">
        <f>SC13AQ!B25</f>
        <v>0</v>
      </c>
      <c r="D28" s="415">
        <f>SC13AQ!C25</f>
        <v>0</v>
      </c>
      <c r="E28" s="331">
        <f>SC13AQ!D25</f>
        <v>0</v>
      </c>
      <c r="F28" s="331">
        <f>SC13AQ!E25</f>
        <v>0</v>
      </c>
      <c r="G28" s="331">
        <f>SC13AQ!F25</f>
        <v>0</v>
      </c>
      <c r="H28" s="331">
        <f>SC13AQ!G25</f>
        <v>0</v>
      </c>
      <c r="I28" s="148">
        <f t="shared" si="1"/>
        <v>0</v>
      </c>
      <c r="J28" s="34" t="str">
        <f t="shared" si="6"/>
        <v/>
      </c>
      <c r="K28" s="332">
        <f>SC13AQ!J25</f>
        <v>0</v>
      </c>
    </row>
    <row r="29" spans="1:11" ht="12.75" customHeight="1" x14ac:dyDescent="0.25">
      <c r="A29" s="606" t="s">
        <v>1138</v>
      </c>
      <c r="B29" s="90"/>
      <c r="C29" s="379">
        <f>SC13AQ!B26</f>
        <v>-1477542</v>
      </c>
      <c r="D29" s="415">
        <f>SC13AQ!C26</f>
        <v>4000000</v>
      </c>
      <c r="E29" s="331">
        <f>SC13AQ!D26</f>
        <v>0</v>
      </c>
      <c r="F29" s="331">
        <f>SC13AQ!E26</f>
        <v>0</v>
      </c>
      <c r="G29" s="331">
        <f>SC13AQ!F26</f>
        <v>0</v>
      </c>
      <c r="H29" s="331">
        <f>SC13AQ!G26</f>
        <v>0</v>
      </c>
      <c r="I29" s="148">
        <f t="shared" si="1"/>
        <v>0</v>
      </c>
      <c r="J29" s="34" t="str">
        <f t="shared" si="6"/>
        <v/>
      </c>
      <c r="K29" s="332">
        <f>SC13AQ!J26</f>
        <v>0</v>
      </c>
    </row>
    <row r="30" spans="1:11" ht="12.75" customHeight="1" x14ac:dyDescent="0.25">
      <c r="A30" s="606" t="s">
        <v>1139</v>
      </c>
      <c r="B30" s="90"/>
      <c r="C30" s="379">
        <f>SC13AQ!B27</f>
        <v>-2020099.82</v>
      </c>
      <c r="D30" s="415">
        <f>SC13AQ!C27</f>
        <v>0</v>
      </c>
      <c r="E30" s="331">
        <f>SC13AQ!D27</f>
        <v>0</v>
      </c>
      <c r="F30" s="331">
        <f>SC13AQ!E27</f>
        <v>0</v>
      </c>
      <c r="G30" s="331">
        <f>SC13AQ!F27</f>
        <v>0</v>
      </c>
      <c r="H30" s="331">
        <f>SC13AQ!G27</f>
        <v>0</v>
      </c>
      <c r="I30" s="148">
        <f t="shared" si="1"/>
        <v>0</v>
      </c>
      <c r="J30" s="34" t="str">
        <f t="shared" si="6"/>
        <v/>
      </c>
      <c r="K30" s="332">
        <f>SC13AQ!J27</f>
        <v>0</v>
      </c>
    </row>
    <row r="31" spans="1:11" ht="12.75" customHeight="1" x14ac:dyDescent="0.25">
      <c r="A31" s="606" t="s">
        <v>1140</v>
      </c>
      <c r="B31" s="90"/>
      <c r="C31" s="379">
        <f>SC13AQ!B28</f>
        <v>2421734.48</v>
      </c>
      <c r="D31" s="415">
        <f>SC13AQ!C28</f>
        <v>5000000</v>
      </c>
      <c r="E31" s="331">
        <f>SC13AQ!D28</f>
        <v>5000000</v>
      </c>
      <c r="F31" s="331">
        <f>SC13AQ!E28</f>
        <v>0</v>
      </c>
      <c r="G31" s="331">
        <f>SC13AQ!F28</f>
        <v>0</v>
      </c>
      <c r="H31" s="331">
        <f>SC13AQ!G28</f>
        <v>0</v>
      </c>
      <c r="I31" s="148">
        <f t="shared" si="1"/>
        <v>0</v>
      </c>
      <c r="J31" s="34" t="str">
        <f t="shared" si="6"/>
        <v/>
      </c>
      <c r="K31" s="332">
        <f>SC13AQ!J28</f>
        <v>5000000</v>
      </c>
    </row>
    <row r="32" spans="1:11" ht="12.75" customHeight="1" x14ac:dyDescent="0.25">
      <c r="A32" s="606" t="s">
        <v>1141</v>
      </c>
      <c r="B32" s="90"/>
      <c r="C32" s="379">
        <f>SC13AQ!B29</f>
        <v>1937327.16</v>
      </c>
      <c r="D32" s="415">
        <f>SC13AQ!C29</f>
        <v>0</v>
      </c>
      <c r="E32" s="331">
        <f>SC13AQ!D29</f>
        <v>0</v>
      </c>
      <c r="F32" s="331">
        <f>SC13AQ!E29</f>
        <v>0</v>
      </c>
      <c r="G32" s="331">
        <f>SC13AQ!F29</f>
        <v>0</v>
      </c>
      <c r="H32" s="331">
        <f>SC13AQ!G29</f>
        <v>0</v>
      </c>
      <c r="I32" s="148">
        <f t="shared" si="1"/>
        <v>0</v>
      </c>
      <c r="J32" s="34" t="str">
        <f t="shared" si="6"/>
        <v/>
      </c>
      <c r="K32" s="332">
        <f>SC13AQ!J29</f>
        <v>0</v>
      </c>
    </row>
    <row r="33" spans="1:11" ht="12.75" customHeight="1" x14ac:dyDescent="0.25">
      <c r="A33" s="606" t="s">
        <v>1142</v>
      </c>
      <c r="B33" s="90"/>
      <c r="C33" s="379">
        <f>SC13AQ!B30</f>
        <v>972529.3</v>
      </c>
      <c r="D33" s="415">
        <f>SC13AQ!C30</f>
        <v>9419000</v>
      </c>
      <c r="E33" s="331">
        <f>SC13AQ!D30</f>
        <v>9419000</v>
      </c>
      <c r="F33" s="331">
        <f>SC13AQ!E30</f>
        <v>0</v>
      </c>
      <c r="G33" s="331">
        <f>SC13AQ!F30</f>
        <v>8297395.3300000001</v>
      </c>
      <c r="H33" s="331">
        <f>SC13AQ!G30</f>
        <v>8919000</v>
      </c>
      <c r="I33" s="148">
        <f t="shared" si="1"/>
        <v>621604.66999999993</v>
      </c>
      <c r="J33" s="34">
        <f t="shared" si="6"/>
        <v>6.9694435474829008E-2</v>
      </c>
      <c r="K33" s="332">
        <f>SC13AQ!J30</f>
        <v>9419000</v>
      </c>
    </row>
    <row r="34" spans="1:11" ht="12.75" customHeight="1" x14ac:dyDescent="0.25">
      <c r="A34" s="606" t="s">
        <v>1143</v>
      </c>
      <c r="B34" s="90"/>
      <c r="C34" s="379">
        <f>SC13AQ!B31</f>
        <v>149086227</v>
      </c>
      <c r="D34" s="415">
        <f>SC13AQ!C31</f>
        <v>89510700</v>
      </c>
      <c r="E34" s="331">
        <f>SC13AQ!D31</f>
        <v>58269700</v>
      </c>
      <c r="F34" s="331">
        <f>SC13AQ!E31</f>
        <v>1008800</v>
      </c>
      <c r="G34" s="331">
        <f>SC13AQ!F31</f>
        <v>21308655.149999999</v>
      </c>
      <c r="H34" s="331">
        <f>SC13AQ!G31</f>
        <v>44920204.420000002</v>
      </c>
      <c r="I34" s="148">
        <f t="shared" si="1"/>
        <v>23611549.270000003</v>
      </c>
      <c r="J34" s="34">
        <f>IF(H34=0,"",I34/H34)</f>
        <v>0.52563316607453681</v>
      </c>
      <c r="K34" s="332">
        <f>SC13AQ!J31</f>
        <v>58269700</v>
      </c>
    </row>
    <row r="35" spans="1:11" ht="12.75" customHeight="1" x14ac:dyDescent="0.25">
      <c r="A35" s="606" t="s">
        <v>1144</v>
      </c>
      <c r="B35" s="90"/>
      <c r="C35" s="379">
        <f>SC13AQ!B32</f>
        <v>8219438.7400000002</v>
      </c>
      <c r="D35" s="415">
        <f>SC13AQ!C32</f>
        <v>17300000</v>
      </c>
      <c r="E35" s="331">
        <f>SC13AQ!D32</f>
        <v>17300000</v>
      </c>
      <c r="F35" s="331">
        <f>SC13AQ!E32</f>
        <v>4529322</v>
      </c>
      <c r="G35" s="331">
        <f>SC13AQ!F32</f>
        <v>6700254.75</v>
      </c>
      <c r="H35" s="331">
        <f>SC13AQ!G32</f>
        <v>10856519.25</v>
      </c>
      <c r="I35" s="148">
        <f t="shared" si="1"/>
        <v>4156264.5</v>
      </c>
      <c r="J35" s="34">
        <f t="shared" si="6"/>
        <v>0.38283582465899463</v>
      </c>
      <c r="K35" s="332">
        <f>SC13AQ!J32</f>
        <v>17300000</v>
      </c>
    </row>
    <row r="36" spans="1:11" ht="12.75" customHeight="1" x14ac:dyDescent="0.25">
      <c r="A36" s="606" t="s">
        <v>1145</v>
      </c>
      <c r="B36" s="90"/>
      <c r="C36" s="379">
        <f>SC13AQ!B33</f>
        <v>0</v>
      </c>
      <c r="D36" s="415">
        <f>SC13AQ!C33</f>
        <v>0</v>
      </c>
      <c r="E36" s="331">
        <f>SC13AQ!D33</f>
        <v>0</v>
      </c>
      <c r="F36" s="331">
        <f>SC13AQ!E33</f>
        <v>0</v>
      </c>
      <c r="G36" s="331">
        <f>SC13AQ!F33</f>
        <v>0</v>
      </c>
      <c r="H36" s="331">
        <f>SC13AQ!G33</f>
        <v>0</v>
      </c>
      <c r="I36" s="148">
        <f t="shared" si="1"/>
        <v>0</v>
      </c>
      <c r="J36" s="34" t="str">
        <f t="shared" si="6"/>
        <v/>
      </c>
      <c r="K36" s="332">
        <f>SC13AQ!J33</f>
        <v>0</v>
      </c>
    </row>
    <row r="37" spans="1:11" ht="12.75" customHeight="1" x14ac:dyDescent="0.25">
      <c r="A37" s="606" t="s">
        <v>1122</v>
      </c>
      <c r="B37" s="90"/>
      <c r="C37" s="379">
        <f>SC13AQ!B34</f>
        <v>0</v>
      </c>
      <c r="D37" s="415">
        <f>SC13AQ!C34</f>
        <v>0</v>
      </c>
      <c r="E37" s="331">
        <f>SC13AQ!D34</f>
        <v>0</v>
      </c>
      <c r="F37" s="331">
        <f>SC13AQ!E34</f>
        <v>0</v>
      </c>
      <c r="G37" s="331">
        <f>SC13AQ!F34</f>
        <v>0</v>
      </c>
      <c r="H37" s="331">
        <f>SC13AQ!G34</f>
        <v>0</v>
      </c>
      <c r="I37" s="148">
        <f t="shared" si="1"/>
        <v>0</v>
      </c>
      <c r="J37" s="34" t="str">
        <f t="shared" si="6"/>
        <v/>
      </c>
      <c r="K37" s="332">
        <f>SC13AQ!J34</f>
        <v>0</v>
      </c>
    </row>
    <row r="38" spans="1:11" ht="12.75" customHeight="1" x14ac:dyDescent="0.25">
      <c r="A38" s="30" t="s">
        <v>1146</v>
      </c>
      <c r="B38" s="90"/>
      <c r="C38" s="74">
        <f t="shared" ref="C38:H38" si="8">SUM(C39:C44)</f>
        <v>36866761.18</v>
      </c>
      <c r="D38" s="148">
        <f t="shared" si="8"/>
        <v>2000000</v>
      </c>
      <c r="E38" s="34">
        <f t="shared" si="8"/>
        <v>6000000</v>
      </c>
      <c r="F38" s="34">
        <f t="shared" si="8"/>
        <v>400329.49</v>
      </c>
      <c r="G38" s="34">
        <f t="shared" si="8"/>
        <v>5063534.46</v>
      </c>
      <c r="H38" s="34">
        <f t="shared" si="8"/>
        <v>3935366.97</v>
      </c>
      <c r="I38" s="148">
        <f t="shared" si="1"/>
        <v>-1128167.4899999998</v>
      </c>
      <c r="J38" s="34">
        <f>IF(H38=0,"",I38/H38)</f>
        <v>-0.28667402521803442</v>
      </c>
      <c r="K38" s="78">
        <f>SUM(K39:K44)</f>
        <v>6000000</v>
      </c>
    </row>
    <row r="39" spans="1:11" ht="12.75" customHeight="1" x14ac:dyDescent="0.25">
      <c r="A39" s="606" t="s">
        <v>1147</v>
      </c>
      <c r="B39" s="90"/>
      <c r="C39" s="379">
        <f>SC13AQ!B36</f>
        <v>11398094.18</v>
      </c>
      <c r="D39" s="415">
        <f>SC13AQ!C36</f>
        <v>0</v>
      </c>
      <c r="E39" s="331">
        <f>SC13AQ!D36</f>
        <v>4000000</v>
      </c>
      <c r="F39" s="331">
        <f>SC13AQ!E36</f>
        <v>400329.49</v>
      </c>
      <c r="G39" s="331">
        <f>SC13AQ!F36</f>
        <v>5063534.46</v>
      </c>
      <c r="H39" s="331">
        <f>SC13AQ!G36</f>
        <v>3935366.97</v>
      </c>
      <c r="I39" s="148">
        <f t="shared" si="1"/>
        <v>-1128167.4899999998</v>
      </c>
      <c r="J39" s="34">
        <f t="shared" si="6"/>
        <v>-0.28667402521803442</v>
      </c>
      <c r="K39" s="332">
        <f>SC13AQ!J36</f>
        <v>4000000</v>
      </c>
    </row>
    <row r="40" spans="1:11" ht="12.75" customHeight="1" x14ac:dyDescent="0.25">
      <c r="A40" s="606" t="s">
        <v>117</v>
      </c>
      <c r="B40" s="90"/>
      <c r="C40" s="379">
        <f>SC13AQ!B37</f>
        <v>461823.09</v>
      </c>
      <c r="D40" s="415">
        <f>SC13AQ!C37</f>
        <v>2000000</v>
      </c>
      <c r="E40" s="331">
        <f>SC13AQ!D37</f>
        <v>2000000</v>
      </c>
      <c r="F40" s="331">
        <f>SC13AQ!E37</f>
        <v>0</v>
      </c>
      <c r="G40" s="331">
        <f>SC13AQ!F37</f>
        <v>0</v>
      </c>
      <c r="H40" s="331">
        <f>SC13AQ!G37</f>
        <v>0</v>
      </c>
      <c r="I40" s="148">
        <f t="shared" si="1"/>
        <v>0</v>
      </c>
      <c r="J40" s="34" t="str">
        <f t="shared" si="6"/>
        <v/>
      </c>
      <c r="K40" s="332">
        <f>SC13AQ!J37</f>
        <v>2000000</v>
      </c>
    </row>
    <row r="41" spans="1:11" ht="12.75" customHeight="1" x14ac:dyDescent="0.25">
      <c r="A41" s="606" t="s">
        <v>1148</v>
      </c>
      <c r="B41" s="90"/>
      <c r="C41" s="379">
        <f>SC13AQ!B38</f>
        <v>0</v>
      </c>
      <c r="D41" s="415">
        <f>SC13AQ!C38</f>
        <v>0</v>
      </c>
      <c r="E41" s="331">
        <f>SC13AQ!D38</f>
        <v>0</v>
      </c>
      <c r="F41" s="331">
        <f>SC13AQ!E38</f>
        <v>0</v>
      </c>
      <c r="G41" s="331">
        <f>SC13AQ!F38</f>
        <v>0</v>
      </c>
      <c r="H41" s="331">
        <f>SC13AQ!G38</f>
        <v>0</v>
      </c>
      <c r="I41" s="148">
        <f t="shared" si="1"/>
        <v>0</v>
      </c>
      <c r="J41" s="34" t="str">
        <f t="shared" si="6"/>
        <v/>
      </c>
      <c r="K41" s="332">
        <f>SC13AQ!J38</f>
        <v>0</v>
      </c>
    </row>
    <row r="42" spans="1:11" ht="12.75" customHeight="1" x14ac:dyDescent="0.25">
      <c r="A42" s="606" t="s">
        <v>1149</v>
      </c>
      <c r="B42" s="90"/>
      <c r="C42" s="379">
        <f>SC13AQ!B39</f>
        <v>25006843.91</v>
      </c>
      <c r="D42" s="415">
        <f>SC13AQ!C39</f>
        <v>0</v>
      </c>
      <c r="E42" s="331">
        <f>SC13AQ!D39</f>
        <v>0</v>
      </c>
      <c r="F42" s="331">
        <f>SC13AQ!E39</f>
        <v>0</v>
      </c>
      <c r="G42" s="331">
        <f>SC13AQ!F39</f>
        <v>0</v>
      </c>
      <c r="H42" s="331">
        <f>SC13AQ!G39</f>
        <v>0</v>
      </c>
      <c r="I42" s="148">
        <f t="shared" si="1"/>
        <v>0</v>
      </c>
      <c r="J42" s="34" t="str">
        <f>IF(H42=0,"",I42/H42)</f>
        <v/>
      </c>
      <c r="K42" s="332">
        <f>SC13AQ!J39</f>
        <v>0</v>
      </c>
    </row>
    <row r="43" spans="1:11" ht="12.75" customHeight="1" x14ac:dyDescent="0.25">
      <c r="A43" s="606" t="s">
        <v>1150</v>
      </c>
      <c r="B43" s="90"/>
      <c r="C43" s="379">
        <f>SC13AQ!B40</f>
        <v>0</v>
      </c>
      <c r="D43" s="415">
        <f>SC13AQ!C40</f>
        <v>0</v>
      </c>
      <c r="E43" s="331">
        <f>SC13AQ!D40</f>
        <v>0</v>
      </c>
      <c r="F43" s="331">
        <f>SC13AQ!E40</f>
        <v>0</v>
      </c>
      <c r="G43" s="331">
        <f>SC13AQ!F40</f>
        <v>0</v>
      </c>
      <c r="H43" s="331">
        <f>SC13AQ!G40</f>
        <v>0</v>
      </c>
      <c r="I43" s="148">
        <f t="shared" si="1"/>
        <v>0</v>
      </c>
      <c r="J43" s="34" t="str">
        <f t="shared" si="6"/>
        <v/>
      </c>
      <c r="K43" s="332">
        <f>SC13AQ!J40</f>
        <v>0</v>
      </c>
    </row>
    <row r="44" spans="1:11" ht="12.75" customHeight="1" x14ac:dyDescent="0.25">
      <c r="A44" s="606" t="s">
        <v>1122</v>
      </c>
      <c r="B44" s="90"/>
      <c r="C44" s="379">
        <f>SC13AQ!B41</f>
        <v>0</v>
      </c>
      <c r="D44" s="415">
        <f>SC13AQ!C41</f>
        <v>0</v>
      </c>
      <c r="E44" s="331">
        <f>SC13AQ!D41</f>
        <v>0</v>
      </c>
      <c r="F44" s="331">
        <f>SC13AQ!E41</f>
        <v>0</v>
      </c>
      <c r="G44" s="331">
        <f>SC13AQ!F41</f>
        <v>0</v>
      </c>
      <c r="H44" s="331">
        <f>SC13AQ!G41</f>
        <v>0</v>
      </c>
      <c r="I44" s="148">
        <f t="shared" si="1"/>
        <v>0</v>
      </c>
      <c r="J44" s="34" t="str">
        <f t="shared" si="6"/>
        <v/>
      </c>
      <c r="K44" s="332">
        <f>SC13AQ!J41</f>
        <v>0</v>
      </c>
    </row>
    <row r="45" spans="1:11" ht="12.75" customHeight="1" x14ac:dyDescent="0.25">
      <c r="A45" s="30" t="s">
        <v>1151</v>
      </c>
      <c r="B45" s="90"/>
      <c r="C45" s="74">
        <f t="shared" ref="C45:H45" si="9">SUM(C46:C52)</f>
        <v>1936067.74</v>
      </c>
      <c r="D45" s="148">
        <f t="shared" si="9"/>
        <v>2719000</v>
      </c>
      <c r="E45" s="34">
        <f t="shared" si="9"/>
        <v>0</v>
      </c>
      <c r="F45" s="34">
        <f t="shared" si="9"/>
        <v>0</v>
      </c>
      <c r="G45" s="34">
        <f t="shared" si="9"/>
        <v>0</v>
      </c>
      <c r="H45" s="34">
        <f t="shared" si="9"/>
        <v>0</v>
      </c>
      <c r="I45" s="148">
        <f t="shared" si="1"/>
        <v>0</v>
      </c>
      <c r="J45" s="34" t="str">
        <f t="shared" si="6"/>
        <v/>
      </c>
      <c r="K45" s="78">
        <f>SUM(K46:K52)</f>
        <v>0</v>
      </c>
    </row>
    <row r="46" spans="1:11" ht="12.75" customHeight="1" x14ac:dyDescent="0.25">
      <c r="A46" s="606" t="s">
        <v>1152</v>
      </c>
      <c r="B46" s="90"/>
      <c r="C46" s="379">
        <f>SC13AQ!B43</f>
        <v>0</v>
      </c>
      <c r="D46" s="415">
        <f>SC13AQ!C43</f>
        <v>0</v>
      </c>
      <c r="E46" s="331">
        <f>SC13AQ!D43</f>
        <v>0</v>
      </c>
      <c r="F46" s="331">
        <f>SC13AQ!E43</f>
        <v>0</v>
      </c>
      <c r="G46" s="331">
        <f>SC13AQ!F43</f>
        <v>0</v>
      </c>
      <c r="H46" s="331">
        <f>SC13AQ!G43</f>
        <v>0</v>
      </c>
      <c r="I46" s="148">
        <f t="shared" si="1"/>
        <v>0</v>
      </c>
      <c r="J46" s="34" t="str">
        <f t="shared" si="6"/>
        <v/>
      </c>
      <c r="K46" s="332">
        <f>SC13AQ!J43</f>
        <v>0</v>
      </c>
    </row>
    <row r="47" spans="1:11" ht="12.75" customHeight="1" x14ac:dyDescent="0.25">
      <c r="A47" s="606" t="s">
        <v>1153</v>
      </c>
      <c r="B47" s="90"/>
      <c r="C47" s="379">
        <f>SC13AQ!B44</f>
        <v>1936067.74</v>
      </c>
      <c r="D47" s="415">
        <f>SC13AQ!C44</f>
        <v>2719000</v>
      </c>
      <c r="E47" s="331">
        <f>SC13AQ!D44</f>
        <v>0</v>
      </c>
      <c r="F47" s="331">
        <f>SC13AQ!E44</f>
        <v>0</v>
      </c>
      <c r="G47" s="331">
        <f>SC13AQ!F44</f>
        <v>0</v>
      </c>
      <c r="H47" s="331">
        <f>SC13AQ!G44</f>
        <v>0</v>
      </c>
      <c r="I47" s="148">
        <f t="shared" si="1"/>
        <v>0</v>
      </c>
      <c r="J47" s="34" t="str">
        <f t="shared" si="6"/>
        <v/>
      </c>
      <c r="K47" s="332">
        <f>SC13AQ!J44</f>
        <v>0</v>
      </c>
    </row>
    <row r="48" spans="1:11" ht="12.75" customHeight="1" x14ac:dyDescent="0.25">
      <c r="A48" s="606" t="s">
        <v>1154</v>
      </c>
      <c r="B48" s="90"/>
      <c r="C48" s="379">
        <f>SC13AQ!B45</f>
        <v>0</v>
      </c>
      <c r="D48" s="415">
        <f>SC13AQ!C45</f>
        <v>0</v>
      </c>
      <c r="E48" s="331">
        <f>SC13AQ!D45</f>
        <v>0</v>
      </c>
      <c r="F48" s="331">
        <f>SC13AQ!E45</f>
        <v>0</v>
      </c>
      <c r="G48" s="331">
        <f>SC13AQ!F45</f>
        <v>0</v>
      </c>
      <c r="H48" s="331">
        <f>SC13AQ!G45</f>
        <v>0</v>
      </c>
      <c r="I48" s="148">
        <f t="shared" si="1"/>
        <v>0</v>
      </c>
      <c r="J48" s="34" t="str">
        <f t="shared" si="6"/>
        <v/>
      </c>
      <c r="K48" s="332">
        <f>SC13AQ!J45</f>
        <v>0</v>
      </c>
    </row>
    <row r="49" spans="1:11" ht="12.75" customHeight="1" x14ac:dyDescent="0.25">
      <c r="A49" s="606" t="s">
        <v>1155</v>
      </c>
      <c r="B49" s="90"/>
      <c r="C49" s="379">
        <f>SC13AQ!B46</f>
        <v>0</v>
      </c>
      <c r="D49" s="415">
        <f>SC13AQ!C46</f>
        <v>0</v>
      </c>
      <c r="E49" s="331">
        <f>SC13AQ!D46</f>
        <v>0</v>
      </c>
      <c r="F49" s="331">
        <f>SC13AQ!E46</f>
        <v>0</v>
      </c>
      <c r="G49" s="331">
        <f>SC13AQ!F46</f>
        <v>0</v>
      </c>
      <c r="H49" s="331">
        <f>SC13AQ!G46</f>
        <v>0</v>
      </c>
      <c r="I49" s="148">
        <f t="shared" si="1"/>
        <v>0</v>
      </c>
      <c r="J49" s="34" t="str">
        <f t="shared" si="6"/>
        <v/>
      </c>
      <c r="K49" s="332">
        <f>SC13AQ!J46</f>
        <v>0</v>
      </c>
    </row>
    <row r="50" spans="1:11" ht="12.75" customHeight="1" x14ac:dyDescent="0.25">
      <c r="A50" s="606" t="s">
        <v>1156</v>
      </c>
      <c r="B50" s="90"/>
      <c r="C50" s="379">
        <f>SC13AQ!B47</f>
        <v>0</v>
      </c>
      <c r="D50" s="415">
        <f>SC13AQ!C47</f>
        <v>0</v>
      </c>
      <c r="E50" s="331">
        <f>SC13AQ!D47</f>
        <v>0</v>
      </c>
      <c r="F50" s="331">
        <f>SC13AQ!E47</f>
        <v>0</v>
      </c>
      <c r="G50" s="331">
        <f>SC13AQ!F47</f>
        <v>0</v>
      </c>
      <c r="H50" s="331">
        <f>SC13AQ!G47</f>
        <v>0</v>
      </c>
      <c r="I50" s="148">
        <f t="shared" si="1"/>
        <v>0</v>
      </c>
      <c r="J50" s="34" t="str">
        <f t="shared" si="6"/>
        <v/>
      </c>
      <c r="K50" s="332">
        <f>SC13AQ!J47</f>
        <v>0</v>
      </c>
    </row>
    <row r="51" spans="1:11" ht="12.75" customHeight="1" x14ac:dyDescent="0.25">
      <c r="A51" s="606" t="s">
        <v>1157</v>
      </c>
      <c r="B51" s="90"/>
      <c r="C51" s="379">
        <f>SC13AQ!B48</f>
        <v>0</v>
      </c>
      <c r="D51" s="415">
        <f>SC13AQ!C48</f>
        <v>0</v>
      </c>
      <c r="E51" s="331">
        <f>SC13AQ!D48</f>
        <v>0</v>
      </c>
      <c r="F51" s="331">
        <f>SC13AQ!E48</f>
        <v>0</v>
      </c>
      <c r="G51" s="331">
        <f>SC13AQ!F48</f>
        <v>0</v>
      </c>
      <c r="H51" s="331">
        <f>SC13AQ!G48</f>
        <v>0</v>
      </c>
      <c r="I51" s="148">
        <f t="shared" si="1"/>
        <v>0</v>
      </c>
      <c r="J51" s="34" t="str">
        <f t="shared" si="6"/>
        <v/>
      </c>
      <c r="K51" s="332">
        <f>SC13AQ!J48</f>
        <v>0</v>
      </c>
    </row>
    <row r="52" spans="1:11" ht="12.75" customHeight="1" x14ac:dyDescent="0.25">
      <c r="A52" s="606" t="s">
        <v>1122</v>
      </c>
      <c r="B52" s="90"/>
      <c r="C52" s="379">
        <f>SC13AQ!B49</f>
        <v>0</v>
      </c>
      <c r="D52" s="415">
        <f>SC13AQ!C49</f>
        <v>0</v>
      </c>
      <c r="E52" s="331">
        <f>SC13AQ!D49</f>
        <v>0</v>
      </c>
      <c r="F52" s="331">
        <f>SC13AQ!E49</f>
        <v>0</v>
      </c>
      <c r="G52" s="331">
        <f>SC13AQ!F49</f>
        <v>0</v>
      </c>
      <c r="H52" s="331">
        <f>SC13AQ!G49</f>
        <v>0</v>
      </c>
      <c r="I52" s="148">
        <f t="shared" si="1"/>
        <v>0</v>
      </c>
      <c r="J52" s="34" t="str">
        <f t="shared" si="6"/>
        <v/>
      </c>
      <c r="K52" s="332">
        <f>SC13AQ!J49</f>
        <v>0</v>
      </c>
    </row>
    <row r="53" spans="1:11" ht="12.75" customHeight="1" x14ac:dyDescent="0.25">
      <c r="A53" s="30" t="s">
        <v>1158</v>
      </c>
      <c r="B53" s="90"/>
      <c r="C53" s="74">
        <f t="shared" ref="C53:H53" si="10">SUM(C54:C62)</f>
        <v>0</v>
      </c>
      <c r="D53" s="148">
        <f t="shared" si="10"/>
        <v>0</v>
      </c>
      <c r="E53" s="34">
        <f t="shared" si="10"/>
        <v>0</v>
      </c>
      <c r="F53" s="34">
        <f t="shared" si="10"/>
        <v>0</v>
      </c>
      <c r="G53" s="34">
        <f t="shared" si="10"/>
        <v>0</v>
      </c>
      <c r="H53" s="34">
        <f t="shared" si="10"/>
        <v>0</v>
      </c>
      <c r="I53" s="148">
        <f t="shared" si="1"/>
        <v>0</v>
      </c>
      <c r="J53" s="34" t="str">
        <f t="shared" si="6"/>
        <v/>
      </c>
      <c r="K53" s="78">
        <f>SUM(K54:K62)</f>
        <v>0</v>
      </c>
    </row>
    <row r="54" spans="1:11" ht="12.75" customHeight="1" x14ac:dyDescent="0.25">
      <c r="A54" s="606" t="s">
        <v>1159</v>
      </c>
      <c r="B54" s="90"/>
      <c r="C54" s="379">
        <f>SC13AQ!B51</f>
        <v>0</v>
      </c>
      <c r="D54" s="415">
        <f>SC13AQ!C51</f>
        <v>0</v>
      </c>
      <c r="E54" s="331">
        <f>SC13AQ!D51</f>
        <v>0</v>
      </c>
      <c r="F54" s="331">
        <f>SC13AQ!E51</f>
        <v>0</v>
      </c>
      <c r="G54" s="331">
        <f>SC13AQ!F51</f>
        <v>0</v>
      </c>
      <c r="H54" s="331">
        <f>SC13AQ!G51</f>
        <v>0</v>
      </c>
      <c r="I54" s="148">
        <f t="shared" si="1"/>
        <v>0</v>
      </c>
      <c r="J54" s="34" t="str">
        <f t="shared" si="6"/>
        <v/>
      </c>
      <c r="K54" s="332">
        <f>SC13AQ!J51</f>
        <v>0</v>
      </c>
    </row>
    <row r="55" spans="1:11" ht="12.75" customHeight="1" x14ac:dyDescent="0.25">
      <c r="A55" s="606" t="s">
        <v>1160</v>
      </c>
      <c r="B55" s="90"/>
      <c r="C55" s="379">
        <f>SC13AQ!B52</f>
        <v>0</v>
      </c>
      <c r="D55" s="415">
        <f>SC13AQ!C52</f>
        <v>0</v>
      </c>
      <c r="E55" s="331">
        <f>SC13AQ!D52</f>
        <v>0</v>
      </c>
      <c r="F55" s="331">
        <f>SC13AQ!E52</f>
        <v>0</v>
      </c>
      <c r="G55" s="331">
        <f>SC13AQ!F52</f>
        <v>0</v>
      </c>
      <c r="H55" s="331">
        <f>SC13AQ!G52</f>
        <v>0</v>
      </c>
      <c r="I55" s="148">
        <f t="shared" si="1"/>
        <v>0</v>
      </c>
      <c r="J55" s="34" t="str">
        <f t="shared" si="6"/>
        <v/>
      </c>
      <c r="K55" s="332">
        <f>SC13AQ!J52</f>
        <v>0</v>
      </c>
    </row>
    <row r="56" spans="1:11" ht="12.75" customHeight="1" x14ac:dyDescent="0.25">
      <c r="A56" s="606" t="s">
        <v>1161</v>
      </c>
      <c r="B56" s="90"/>
      <c r="C56" s="379">
        <f>SC13AQ!B53</f>
        <v>0</v>
      </c>
      <c r="D56" s="415">
        <f>SC13AQ!C53</f>
        <v>0</v>
      </c>
      <c r="E56" s="331">
        <f>SC13AQ!D53</f>
        <v>0</v>
      </c>
      <c r="F56" s="331">
        <f>SC13AQ!E53</f>
        <v>0</v>
      </c>
      <c r="G56" s="331">
        <f>SC13AQ!F53</f>
        <v>0</v>
      </c>
      <c r="H56" s="331">
        <f>SC13AQ!G53</f>
        <v>0</v>
      </c>
      <c r="I56" s="148">
        <f t="shared" si="1"/>
        <v>0</v>
      </c>
      <c r="J56" s="34" t="str">
        <f t="shared" si="6"/>
        <v/>
      </c>
      <c r="K56" s="332">
        <f>SC13AQ!J53</f>
        <v>0</v>
      </c>
    </row>
    <row r="57" spans="1:11" ht="12.75" customHeight="1" x14ac:dyDescent="0.25">
      <c r="A57" s="606" t="s">
        <v>1124</v>
      </c>
      <c r="B57" s="90"/>
      <c r="C57" s="379">
        <f>SC13AQ!B54</f>
        <v>0</v>
      </c>
      <c r="D57" s="415">
        <f>SC13AQ!C54</f>
        <v>0</v>
      </c>
      <c r="E57" s="331">
        <f>SC13AQ!D54</f>
        <v>0</v>
      </c>
      <c r="F57" s="331">
        <f>SC13AQ!E54</f>
        <v>0</v>
      </c>
      <c r="G57" s="331">
        <f>SC13AQ!F54</f>
        <v>0</v>
      </c>
      <c r="H57" s="331">
        <f>SC13AQ!G54</f>
        <v>0</v>
      </c>
      <c r="I57" s="148">
        <f t="shared" si="1"/>
        <v>0</v>
      </c>
      <c r="J57" s="34" t="str">
        <f t="shared" si="6"/>
        <v/>
      </c>
      <c r="K57" s="332">
        <f>SC13AQ!J54</f>
        <v>0</v>
      </c>
    </row>
    <row r="58" spans="1:11" ht="12.75" customHeight="1" x14ac:dyDescent="0.25">
      <c r="A58" s="606" t="s">
        <v>1125</v>
      </c>
      <c r="B58" s="90"/>
      <c r="C58" s="379">
        <f>SC13AQ!B55</f>
        <v>0</v>
      </c>
      <c r="D58" s="415">
        <f>SC13AQ!C55</f>
        <v>0</v>
      </c>
      <c r="E58" s="331">
        <f>SC13AQ!D55</f>
        <v>0</v>
      </c>
      <c r="F58" s="331">
        <f>SC13AQ!E55</f>
        <v>0</v>
      </c>
      <c r="G58" s="331">
        <f>SC13AQ!F55</f>
        <v>0</v>
      </c>
      <c r="H58" s="331">
        <f>SC13AQ!G55</f>
        <v>0</v>
      </c>
      <c r="I58" s="148">
        <f t="shared" si="1"/>
        <v>0</v>
      </c>
      <c r="J58" s="34" t="str">
        <f t="shared" si="6"/>
        <v/>
      </c>
      <c r="K58" s="332">
        <f>SC13AQ!J55</f>
        <v>0</v>
      </c>
    </row>
    <row r="59" spans="1:11" ht="12.75" customHeight="1" x14ac:dyDescent="0.25">
      <c r="A59" s="606" t="s">
        <v>1126</v>
      </c>
      <c r="B59" s="90"/>
      <c r="C59" s="379">
        <f>SC13AQ!B56</f>
        <v>0</v>
      </c>
      <c r="D59" s="415">
        <f>SC13AQ!C56</f>
        <v>0</v>
      </c>
      <c r="E59" s="331">
        <f>SC13AQ!D56</f>
        <v>0</v>
      </c>
      <c r="F59" s="331">
        <f>SC13AQ!E56</f>
        <v>0</v>
      </c>
      <c r="G59" s="331">
        <f>SC13AQ!F56</f>
        <v>0</v>
      </c>
      <c r="H59" s="331">
        <f>SC13AQ!G56</f>
        <v>0</v>
      </c>
      <c r="I59" s="148">
        <f t="shared" si="1"/>
        <v>0</v>
      </c>
      <c r="J59" s="34" t="str">
        <f t="shared" si="6"/>
        <v/>
      </c>
      <c r="K59" s="332">
        <f>SC13AQ!J56</f>
        <v>0</v>
      </c>
    </row>
    <row r="60" spans="1:11" ht="12.75" customHeight="1" x14ac:dyDescent="0.25">
      <c r="A60" s="606" t="s">
        <v>1132</v>
      </c>
      <c r="B60" s="90"/>
      <c r="C60" s="379">
        <f>SC13AQ!B57</f>
        <v>0</v>
      </c>
      <c r="D60" s="415">
        <f>SC13AQ!C57</f>
        <v>0</v>
      </c>
      <c r="E60" s="331">
        <f>SC13AQ!D57</f>
        <v>0</v>
      </c>
      <c r="F60" s="331">
        <f>SC13AQ!E57</f>
        <v>0</v>
      </c>
      <c r="G60" s="331">
        <f>SC13AQ!F57</f>
        <v>0</v>
      </c>
      <c r="H60" s="331">
        <f>SC13AQ!G57</f>
        <v>0</v>
      </c>
      <c r="I60" s="148">
        <f t="shared" si="1"/>
        <v>0</v>
      </c>
      <c r="J60" s="34" t="str">
        <f t="shared" si="6"/>
        <v/>
      </c>
      <c r="K60" s="332">
        <f>SC13AQ!J57</f>
        <v>0</v>
      </c>
    </row>
    <row r="61" spans="1:11" ht="12.75" customHeight="1" x14ac:dyDescent="0.25">
      <c r="A61" s="606" t="s">
        <v>1135</v>
      </c>
      <c r="B61" s="90"/>
      <c r="C61" s="379">
        <f>SC13AQ!B58</f>
        <v>0</v>
      </c>
      <c r="D61" s="415">
        <f>SC13AQ!C58</f>
        <v>0</v>
      </c>
      <c r="E61" s="331">
        <f>SC13AQ!D58</f>
        <v>0</v>
      </c>
      <c r="F61" s="331">
        <f>SC13AQ!E58</f>
        <v>0</v>
      </c>
      <c r="G61" s="331">
        <f>SC13AQ!F58</f>
        <v>0</v>
      </c>
      <c r="H61" s="331">
        <f>SC13AQ!G58</f>
        <v>0</v>
      </c>
      <c r="I61" s="148">
        <f t="shared" si="1"/>
        <v>0</v>
      </c>
      <c r="J61" s="34" t="str">
        <f t="shared" si="6"/>
        <v/>
      </c>
      <c r="K61" s="332">
        <f>SC13AQ!J58</f>
        <v>0</v>
      </c>
    </row>
    <row r="62" spans="1:11" ht="12.75" customHeight="1" x14ac:dyDescent="0.25">
      <c r="A62" s="606" t="s">
        <v>1122</v>
      </c>
      <c r="B62" s="90"/>
      <c r="C62" s="379">
        <f>SC13AQ!B59</f>
        <v>0</v>
      </c>
      <c r="D62" s="415">
        <f>SC13AQ!C59</f>
        <v>0</v>
      </c>
      <c r="E62" s="331">
        <f>SC13AQ!D59</f>
        <v>0</v>
      </c>
      <c r="F62" s="331">
        <f>SC13AQ!E59</f>
        <v>0</v>
      </c>
      <c r="G62" s="331">
        <f>SC13AQ!F59</f>
        <v>0</v>
      </c>
      <c r="H62" s="331">
        <f>SC13AQ!G59</f>
        <v>0</v>
      </c>
      <c r="I62" s="148">
        <f t="shared" si="1"/>
        <v>0</v>
      </c>
      <c r="J62" s="34" t="str">
        <f t="shared" si="6"/>
        <v/>
      </c>
      <c r="K62" s="332">
        <f>SC13AQ!J59</f>
        <v>0</v>
      </c>
    </row>
    <row r="63" spans="1:11" ht="12.75" customHeight="1" x14ac:dyDescent="0.25">
      <c r="A63" s="30" t="s">
        <v>1162</v>
      </c>
      <c r="B63" s="90"/>
      <c r="C63" s="74">
        <f t="shared" ref="C63:H63" si="11">SUM(C64:C68)</f>
        <v>-134090.76</v>
      </c>
      <c r="D63" s="148">
        <f t="shared" si="11"/>
        <v>3200000</v>
      </c>
      <c r="E63" s="34">
        <f t="shared" si="11"/>
        <v>3200000</v>
      </c>
      <c r="F63" s="34">
        <f t="shared" si="11"/>
        <v>0</v>
      </c>
      <c r="G63" s="34">
        <f t="shared" si="11"/>
        <v>860600</v>
      </c>
      <c r="H63" s="34">
        <f t="shared" si="11"/>
        <v>5283844.3</v>
      </c>
      <c r="I63" s="148">
        <f t="shared" si="1"/>
        <v>4423244.3</v>
      </c>
      <c r="J63" s="34">
        <f t="shared" si="6"/>
        <v>0.83712616210133217</v>
      </c>
      <c r="K63" s="78">
        <f>SUM(K64:K68)</f>
        <v>3200000</v>
      </c>
    </row>
    <row r="64" spans="1:11" ht="12.75" customHeight="1" x14ac:dyDescent="0.25">
      <c r="A64" s="606" t="s">
        <v>1163</v>
      </c>
      <c r="B64" s="90"/>
      <c r="C64" s="379">
        <f>SC13AQ!B61</f>
        <v>-533660.76</v>
      </c>
      <c r="D64" s="415">
        <f>SC13AQ!C61</f>
        <v>200000</v>
      </c>
      <c r="E64" s="331">
        <f>SC13AQ!D61</f>
        <v>200000</v>
      </c>
      <c r="F64" s="331">
        <f>SC13AQ!E61</f>
        <v>0</v>
      </c>
      <c r="G64" s="331">
        <f>SC13AQ!F61</f>
        <v>0</v>
      </c>
      <c r="H64" s="331">
        <f>SC13AQ!G61</f>
        <v>200000</v>
      </c>
      <c r="I64" s="148">
        <f t="shared" si="1"/>
        <v>200000</v>
      </c>
      <c r="J64" s="34">
        <f t="shared" si="6"/>
        <v>1</v>
      </c>
      <c r="K64" s="332">
        <f>SC13AQ!J61</f>
        <v>200000</v>
      </c>
    </row>
    <row r="65" spans="1:11" ht="12.75" customHeight="1" x14ac:dyDescent="0.25">
      <c r="A65" s="606" t="s">
        <v>1164</v>
      </c>
      <c r="B65" s="90"/>
      <c r="C65" s="379">
        <f>SC13AQ!B62</f>
        <v>399570</v>
      </c>
      <c r="D65" s="415">
        <f>SC13AQ!C62</f>
        <v>3000000</v>
      </c>
      <c r="E65" s="331">
        <f>SC13AQ!D62</f>
        <v>3000000</v>
      </c>
      <c r="F65" s="331">
        <f>SC13AQ!E62</f>
        <v>0</v>
      </c>
      <c r="G65" s="331">
        <f>SC13AQ!F62</f>
        <v>860600</v>
      </c>
      <c r="H65" s="331">
        <f>SC13AQ!G62</f>
        <v>5083844.3</v>
      </c>
      <c r="I65" s="148">
        <f t="shared" si="1"/>
        <v>4223244.3</v>
      </c>
      <c r="J65" s="34">
        <f t="shared" si="6"/>
        <v>0.83071865517203192</v>
      </c>
      <c r="K65" s="332">
        <f>SC13AQ!J62</f>
        <v>3000000</v>
      </c>
    </row>
    <row r="66" spans="1:11" ht="12.75" customHeight="1" x14ac:dyDescent="0.25">
      <c r="A66" s="606" t="s">
        <v>1165</v>
      </c>
      <c r="B66" s="90"/>
      <c r="C66" s="379">
        <f>SC13AQ!B63</f>
        <v>0</v>
      </c>
      <c r="D66" s="415">
        <f>SC13AQ!C63</f>
        <v>0</v>
      </c>
      <c r="E66" s="331">
        <f>SC13AQ!D63</f>
        <v>0</v>
      </c>
      <c r="F66" s="331">
        <f>SC13AQ!E63</f>
        <v>0</v>
      </c>
      <c r="G66" s="331">
        <f>SC13AQ!F63</f>
        <v>0</v>
      </c>
      <c r="H66" s="331">
        <f>SC13AQ!G63</f>
        <v>0</v>
      </c>
      <c r="I66" s="148">
        <f t="shared" si="1"/>
        <v>0</v>
      </c>
      <c r="J66" s="34" t="str">
        <f t="shared" si="6"/>
        <v/>
      </c>
      <c r="K66" s="332">
        <f>SC13AQ!J63</f>
        <v>0</v>
      </c>
    </row>
    <row r="67" spans="1:11" ht="12.75" customHeight="1" x14ac:dyDescent="0.25">
      <c r="A67" s="606" t="s">
        <v>1166</v>
      </c>
      <c r="B67" s="90"/>
      <c r="C67" s="379">
        <f>SC13AQ!B64</f>
        <v>0</v>
      </c>
      <c r="D67" s="415">
        <f>SC13AQ!C64</f>
        <v>0</v>
      </c>
      <c r="E67" s="331">
        <f>SC13AQ!D64</f>
        <v>0</v>
      </c>
      <c r="F67" s="331">
        <f>SC13AQ!E64</f>
        <v>0</v>
      </c>
      <c r="G67" s="331">
        <f>SC13AQ!F64</f>
        <v>0</v>
      </c>
      <c r="H67" s="331">
        <f>SC13AQ!G64</f>
        <v>0</v>
      </c>
      <c r="I67" s="148">
        <f t="shared" si="1"/>
        <v>0</v>
      </c>
      <c r="J67" s="34" t="str">
        <f t="shared" si="6"/>
        <v/>
      </c>
      <c r="K67" s="332">
        <f>SC13AQ!J64</f>
        <v>0</v>
      </c>
    </row>
    <row r="68" spans="1:11" ht="12.75" customHeight="1" x14ac:dyDescent="0.25">
      <c r="A68" s="606" t="s">
        <v>1122</v>
      </c>
      <c r="B68" s="90"/>
      <c r="C68" s="379">
        <f>SC13AQ!B65</f>
        <v>0</v>
      </c>
      <c r="D68" s="415">
        <f>SC13AQ!C65</f>
        <v>0</v>
      </c>
      <c r="E68" s="331">
        <f>SC13AQ!D65</f>
        <v>0</v>
      </c>
      <c r="F68" s="331">
        <f>SC13AQ!E65</f>
        <v>0</v>
      </c>
      <c r="G68" s="331">
        <f>SC13AQ!F65</f>
        <v>0</v>
      </c>
      <c r="H68" s="331">
        <f>SC13AQ!G65</f>
        <v>0</v>
      </c>
      <c r="I68" s="148">
        <f t="shared" si="1"/>
        <v>0</v>
      </c>
      <c r="J68" s="34" t="str">
        <f t="shared" si="6"/>
        <v/>
      </c>
      <c r="K68" s="332">
        <f>SC13AQ!J65</f>
        <v>0</v>
      </c>
    </row>
    <row r="69" spans="1:11" ht="12.75" customHeight="1" x14ac:dyDescent="0.25">
      <c r="A69" s="30" t="s">
        <v>1167</v>
      </c>
      <c r="B69" s="90"/>
      <c r="C69" s="74">
        <f t="shared" ref="C69:H69" si="12">SUM(C70:C73)</f>
        <v>70513.160000000033</v>
      </c>
      <c r="D69" s="148">
        <f t="shared" si="12"/>
        <v>70000</v>
      </c>
      <c r="E69" s="34">
        <f t="shared" si="12"/>
        <v>70000</v>
      </c>
      <c r="F69" s="34">
        <f t="shared" si="12"/>
        <v>0</v>
      </c>
      <c r="G69" s="34">
        <f t="shared" si="12"/>
        <v>0</v>
      </c>
      <c r="H69" s="34">
        <f t="shared" si="12"/>
        <v>0</v>
      </c>
      <c r="I69" s="148">
        <f t="shared" si="1"/>
        <v>0</v>
      </c>
      <c r="J69" s="34" t="str">
        <f t="shared" si="6"/>
        <v/>
      </c>
      <c r="K69" s="78">
        <f>SUM(K70:K73)</f>
        <v>70000</v>
      </c>
    </row>
    <row r="70" spans="1:11" ht="12.75" customHeight="1" x14ac:dyDescent="0.25">
      <c r="A70" s="606" t="s">
        <v>1168</v>
      </c>
      <c r="B70" s="90"/>
      <c r="C70" s="379">
        <f>SC13AQ!B67</f>
        <v>-351774.86</v>
      </c>
      <c r="D70" s="415">
        <f>SC13AQ!C67</f>
        <v>70000</v>
      </c>
      <c r="E70" s="331">
        <f>SC13AQ!D67</f>
        <v>70000</v>
      </c>
      <c r="F70" s="331">
        <f>SC13AQ!E67</f>
        <v>0</v>
      </c>
      <c r="G70" s="331">
        <f>SC13AQ!F67</f>
        <v>0</v>
      </c>
      <c r="H70" s="331">
        <f>SC13AQ!G67</f>
        <v>0</v>
      </c>
      <c r="I70" s="148">
        <f t="shared" si="1"/>
        <v>0</v>
      </c>
      <c r="J70" s="34" t="str">
        <f t="shared" si="6"/>
        <v/>
      </c>
      <c r="K70" s="332">
        <f>SC13AQ!J67</f>
        <v>70000</v>
      </c>
    </row>
    <row r="71" spans="1:11" ht="12.75" customHeight="1" x14ac:dyDescent="0.25">
      <c r="A71" s="606" t="s">
        <v>1169</v>
      </c>
      <c r="B71" s="90"/>
      <c r="C71" s="379">
        <f>SC13AQ!B68</f>
        <v>422288.02</v>
      </c>
      <c r="D71" s="415">
        <f>SC13AQ!C68</f>
        <v>0</v>
      </c>
      <c r="E71" s="331">
        <f>SC13AQ!D68</f>
        <v>0</v>
      </c>
      <c r="F71" s="331">
        <f>SC13AQ!E68</f>
        <v>0</v>
      </c>
      <c r="G71" s="331">
        <f>SC13AQ!F68</f>
        <v>0</v>
      </c>
      <c r="H71" s="331">
        <f>SC13AQ!G68</f>
        <v>0</v>
      </c>
      <c r="I71" s="148">
        <f t="shared" ref="I71:I73" si="13">H71-G71</f>
        <v>0</v>
      </c>
      <c r="J71" s="34" t="str">
        <f t="shared" ref="J71:J93" si="14">IF(I71=0,"",I71/H71)</f>
        <v/>
      </c>
      <c r="K71" s="332">
        <f>SC13AQ!J68</f>
        <v>0</v>
      </c>
    </row>
    <row r="72" spans="1:11" ht="12.75" customHeight="1" x14ac:dyDescent="0.25">
      <c r="A72" s="606" t="s">
        <v>1170</v>
      </c>
      <c r="B72" s="90"/>
      <c r="C72" s="379">
        <f>SC13AQ!B69</f>
        <v>0</v>
      </c>
      <c r="D72" s="415">
        <f>SC13AQ!C69</f>
        <v>0</v>
      </c>
      <c r="E72" s="331">
        <f>SC13AQ!D69</f>
        <v>0</v>
      </c>
      <c r="F72" s="331">
        <f>SC13AQ!E69</f>
        <v>0</v>
      </c>
      <c r="G72" s="331">
        <f>SC13AQ!F69</f>
        <v>0</v>
      </c>
      <c r="H72" s="331">
        <f>SC13AQ!G69</f>
        <v>0</v>
      </c>
      <c r="I72" s="148">
        <f t="shared" si="13"/>
        <v>0</v>
      </c>
      <c r="J72" s="34" t="str">
        <f t="shared" si="14"/>
        <v/>
      </c>
      <c r="K72" s="332">
        <f>SC13AQ!J69</f>
        <v>0</v>
      </c>
    </row>
    <row r="73" spans="1:11" ht="12.75" customHeight="1" x14ac:dyDescent="0.25">
      <c r="A73" s="606" t="s">
        <v>1122</v>
      </c>
      <c r="B73" s="90"/>
      <c r="C73" s="379">
        <f>SC13AQ!B70</f>
        <v>0</v>
      </c>
      <c r="D73" s="415">
        <f>SC13AQ!C70</f>
        <v>0</v>
      </c>
      <c r="E73" s="331">
        <f>SC13AQ!D70</f>
        <v>0</v>
      </c>
      <c r="F73" s="331">
        <f>SC13AQ!E70</f>
        <v>0</v>
      </c>
      <c r="G73" s="331">
        <f>SC13AQ!F70</f>
        <v>0</v>
      </c>
      <c r="H73" s="331">
        <f>SC13AQ!G70</f>
        <v>0</v>
      </c>
      <c r="I73" s="148">
        <f t="shared" si="13"/>
        <v>0</v>
      </c>
      <c r="J73" s="34" t="str">
        <f t="shared" si="14"/>
        <v/>
      </c>
      <c r="K73" s="332">
        <f>SC13AQ!J70</f>
        <v>0</v>
      </c>
    </row>
    <row r="74" spans="1:11" ht="5.25" customHeight="1" x14ac:dyDescent="0.25">
      <c r="A74" s="606"/>
      <c r="B74" s="90"/>
      <c r="C74" s="74"/>
      <c r="D74" s="148"/>
      <c r="E74" s="34"/>
      <c r="F74" s="34"/>
      <c r="G74" s="34"/>
      <c r="H74" s="34"/>
      <c r="I74" s="148"/>
      <c r="J74" s="34" t="str">
        <f t="shared" si="14"/>
        <v/>
      </c>
      <c r="K74" s="78"/>
    </row>
    <row r="75" spans="1:11" ht="12.75" customHeight="1" x14ac:dyDescent="0.25">
      <c r="A75" s="29" t="s">
        <v>1191</v>
      </c>
      <c r="B75" s="90"/>
      <c r="C75" s="220">
        <f t="shared" ref="C75:H75" si="15">+C76+C99</f>
        <v>71202055.269999996</v>
      </c>
      <c r="D75" s="607">
        <f t="shared" si="15"/>
        <v>44795000</v>
      </c>
      <c r="E75" s="221">
        <f t="shared" si="15"/>
        <v>58695000</v>
      </c>
      <c r="F75" s="221">
        <f t="shared" si="15"/>
        <v>0</v>
      </c>
      <c r="G75" s="221">
        <f t="shared" si="15"/>
        <v>21893186.18</v>
      </c>
      <c r="H75" s="221">
        <f t="shared" si="15"/>
        <v>25693331.5</v>
      </c>
      <c r="I75" s="607">
        <f>H75-G75</f>
        <v>3800145.3200000003</v>
      </c>
      <c r="J75" s="34">
        <f>I75/H75</f>
        <v>0.14790395398899517</v>
      </c>
      <c r="K75" s="222">
        <f>+K76+K99</f>
        <v>58695000</v>
      </c>
    </row>
    <row r="76" spans="1:11" ht="12.75" customHeight="1" x14ac:dyDescent="0.25">
      <c r="A76" s="30" t="s">
        <v>1171</v>
      </c>
      <c r="B76" s="90"/>
      <c r="C76" s="74">
        <f t="shared" ref="C76:H76" si="16">SUM(C77:C98)</f>
        <v>39738560.93</v>
      </c>
      <c r="D76" s="148">
        <f t="shared" si="16"/>
        <v>32167000</v>
      </c>
      <c r="E76" s="34">
        <f t="shared" si="16"/>
        <v>46067000</v>
      </c>
      <c r="F76" s="34">
        <f t="shared" si="16"/>
        <v>0</v>
      </c>
      <c r="G76" s="34">
        <f t="shared" si="16"/>
        <v>11509806.369999999</v>
      </c>
      <c r="H76" s="34">
        <f t="shared" si="16"/>
        <v>18065331.5</v>
      </c>
      <c r="I76" s="148">
        <f t="shared" ref="I76:I140" si="17">H76-G76</f>
        <v>6555525.1300000008</v>
      </c>
      <c r="J76" s="34">
        <f>IF(H76=0,"",I76/H76)</f>
        <v>0.36287876200887875</v>
      </c>
      <c r="K76" s="78">
        <f>SUM(K77:K98)</f>
        <v>46067000</v>
      </c>
    </row>
    <row r="77" spans="1:11" ht="12.75" customHeight="1" x14ac:dyDescent="0.25">
      <c r="A77" s="606" t="s">
        <v>1172</v>
      </c>
      <c r="B77" s="90"/>
      <c r="C77" s="379">
        <f>SC13AQ!B73</f>
        <v>432619.04</v>
      </c>
      <c r="D77" s="415">
        <f>SC13AQ!C73</f>
        <v>0</v>
      </c>
      <c r="E77" s="331">
        <f>SC13AQ!D73</f>
        <v>0</v>
      </c>
      <c r="F77" s="331">
        <f>SC13AQ!E73</f>
        <v>0</v>
      </c>
      <c r="G77" s="331">
        <f>SC13AQ!F73</f>
        <v>0</v>
      </c>
      <c r="H77" s="331">
        <f>SC13AQ!G73</f>
        <v>0</v>
      </c>
      <c r="I77" s="148">
        <f t="shared" si="17"/>
        <v>0</v>
      </c>
      <c r="J77" s="34" t="str">
        <f t="shared" si="14"/>
        <v/>
      </c>
      <c r="K77" s="332">
        <f>SC13AQ!J73</f>
        <v>0</v>
      </c>
    </row>
    <row r="78" spans="1:11" ht="12.75" customHeight="1" x14ac:dyDescent="0.25">
      <c r="A78" s="606" t="s">
        <v>1173</v>
      </c>
      <c r="B78" s="90"/>
      <c r="C78" s="379">
        <f>SC13AQ!B74</f>
        <v>0</v>
      </c>
      <c r="D78" s="415">
        <f>SC13AQ!C74</f>
        <v>0</v>
      </c>
      <c r="E78" s="331">
        <f>SC13AQ!D74</f>
        <v>0</v>
      </c>
      <c r="F78" s="331">
        <f>SC13AQ!E74</f>
        <v>0</v>
      </c>
      <c r="G78" s="331">
        <f>SC13AQ!F74</f>
        <v>0</v>
      </c>
      <c r="H78" s="331">
        <f>SC13AQ!G74</f>
        <v>0</v>
      </c>
      <c r="I78" s="148">
        <f t="shared" si="17"/>
        <v>0</v>
      </c>
      <c r="J78" s="34" t="str">
        <f t="shared" si="14"/>
        <v/>
      </c>
      <c r="K78" s="332">
        <f>SC13AQ!J74</f>
        <v>0</v>
      </c>
    </row>
    <row r="79" spans="1:11" ht="12.75" customHeight="1" x14ac:dyDescent="0.25">
      <c r="A79" s="606" t="s">
        <v>1174</v>
      </c>
      <c r="B79" s="90"/>
      <c r="C79" s="379">
        <f>SC13AQ!B75</f>
        <v>0</v>
      </c>
      <c r="D79" s="415">
        <f>SC13AQ!C75</f>
        <v>0</v>
      </c>
      <c r="E79" s="331">
        <f>SC13AQ!D75</f>
        <v>0</v>
      </c>
      <c r="F79" s="331">
        <f>SC13AQ!E75</f>
        <v>0</v>
      </c>
      <c r="G79" s="331">
        <f>SC13AQ!F75</f>
        <v>0</v>
      </c>
      <c r="H79" s="331">
        <f>SC13AQ!G75</f>
        <v>0</v>
      </c>
      <c r="I79" s="148">
        <f t="shared" si="17"/>
        <v>0</v>
      </c>
      <c r="J79" s="34" t="str">
        <f t="shared" si="14"/>
        <v/>
      </c>
      <c r="K79" s="332">
        <f>SC13AQ!J75</f>
        <v>0</v>
      </c>
    </row>
    <row r="80" spans="1:11" ht="12.75" customHeight="1" x14ac:dyDescent="0.25">
      <c r="A80" s="606" t="s">
        <v>1175</v>
      </c>
      <c r="B80" s="90"/>
      <c r="C80" s="379">
        <f>SC13AQ!B76</f>
        <v>0</v>
      </c>
      <c r="D80" s="415">
        <f>SC13AQ!C76</f>
        <v>0</v>
      </c>
      <c r="E80" s="331">
        <f>SC13AQ!D76</f>
        <v>0</v>
      </c>
      <c r="F80" s="331">
        <f>SC13AQ!E76</f>
        <v>0</v>
      </c>
      <c r="G80" s="331">
        <f>SC13AQ!F76</f>
        <v>0</v>
      </c>
      <c r="H80" s="331">
        <f>SC13AQ!G76</f>
        <v>0</v>
      </c>
      <c r="I80" s="148">
        <f t="shared" si="17"/>
        <v>0</v>
      </c>
      <c r="J80" s="34" t="str">
        <f t="shared" si="14"/>
        <v/>
      </c>
      <c r="K80" s="332">
        <f>SC13AQ!J76</f>
        <v>0</v>
      </c>
    </row>
    <row r="81" spans="1:11" ht="12.75" customHeight="1" x14ac:dyDescent="0.25">
      <c r="A81" s="606" t="s">
        <v>1176</v>
      </c>
      <c r="B81" s="90"/>
      <c r="C81" s="379">
        <f>SC13AQ!B77</f>
        <v>0</v>
      </c>
      <c r="D81" s="415">
        <f>SC13AQ!C77</f>
        <v>0</v>
      </c>
      <c r="E81" s="331">
        <f>SC13AQ!D77</f>
        <v>0</v>
      </c>
      <c r="F81" s="331">
        <f>SC13AQ!E77</f>
        <v>0</v>
      </c>
      <c r="G81" s="331">
        <f>SC13AQ!F77</f>
        <v>0</v>
      </c>
      <c r="H81" s="331">
        <f>SC13AQ!G77</f>
        <v>0</v>
      </c>
      <c r="I81" s="148">
        <f t="shared" si="17"/>
        <v>0</v>
      </c>
      <c r="J81" s="34" t="str">
        <f t="shared" si="14"/>
        <v/>
      </c>
      <c r="K81" s="332">
        <f>SC13AQ!J77</f>
        <v>0</v>
      </c>
    </row>
    <row r="82" spans="1:11" ht="12.75" customHeight="1" x14ac:dyDescent="0.25">
      <c r="A82" s="606" t="s">
        <v>1177</v>
      </c>
      <c r="B82" s="90"/>
      <c r="C82" s="379">
        <f>SC13AQ!B78</f>
        <v>0</v>
      </c>
      <c r="D82" s="415">
        <f>SC13AQ!C78</f>
        <v>0</v>
      </c>
      <c r="E82" s="331">
        <f>SC13AQ!D78</f>
        <v>0</v>
      </c>
      <c r="F82" s="331">
        <f>SC13AQ!E78</f>
        <v>0</v>
      </c>
      <c r="G82" s="331">
        <f>SC13AQ!F78</f>
        <v>0</v>
      </c>
      <c r="H82" s="331">
        <f>SC13AQ!G78</f>
        <v>0</v>
      </c>
      <c r="I82" s="148">
        <f t="shared" si="17"/>
        <v>0</v>
      </c>
      <c r="J82" s="572" t="str">
        <f t="shared" si="14"/>
        <v/>
      </c>
      <c r="K82" s="332">
        <f>SC13AQ!J78</f>
        <v>0</v>
      </c>
    </row>
    <row r="83" spans="1:11" ht="12.75" customHeight="1" x14ac:dyDescent="0.25">
      <c r="A83" s="606" t="s">
        <v>1178</v>
      </c>
      <c r="B83" s="90"/>
      <c r="C83" s="379">
        <f>SC13AQ!B79</f>
        <v>0</v>
      </c>
      <c r="D83" s="415">
        <f>SC13AQ!C79</f>
        <v>0</v>
      </c>
      <c r="E83" s="331">
        <f>SC13AQ!D79</f>
        <v>0</v>
      </c>
      <c r="F83" s="331">
        <f>SC13AQ!E79</f>
        <v>0</v>
      </c>
      <c r="G83" s="331">
        <f>SC13AQ!F79</f>
        <v>0</v>
      </c>
      <c r="H83" s="331">
        <f>SC13AQ!G79</f>
        <v>0</v>
      </c>
      <c r="I83" s="148">
        <f t="shared" si="17"/>
        <v>0</v>
      </c>
      <c r="J83" s="572" t="str">
        <f t="shared" si="14"/>
        <v/>
      </c>
      <c r="K83" s="332">
        <f>SC13AQ!J79</f>
        <v>0</v>
      </c>
    </row>
    <row r="84" spans="1:11" ht="12.75" customHeight="1" x14ac:dyDescent="0.25">
      <c r="A84" s="606" t="s">
        <v>1179</v>
      </c>
      <c r="B84" s="90"/>
      <c r="C84" s="379">
        <f>SC13AQ!B80</f>
        <v>0</v>
      </c>
      <c r="D84" s="415">
        <f>SC13AQ!C80</f>
        <v>0</v>
      </c>
      <c r="E84" s="331">
        <f>SC13AQ!D80</f>
        <v>0</v>
      </c>
      <c r="F84" s="331">
        <f>SC13AQ!E80</f>
        <v>0</v>
      </c>
      <c r="G84" s="331">
        <f>SC13AQ!F80</f>
        <v>0</v>
      </c>
      <c r="H84" s="331">
        <f>SC13AQ!G80</f>
        <v>0</v>
      </c>
      <c r="I84" s="148">
        <f t="shared" si="17"/>
        <v>0</v>
      </c>
      <c r="J84" s="572" t="str">
        <f t="shared" si="14"/>
        <v/>
      </c>
      <c r="K84" s="332">
        <f>SC13AQ!J80</f>
        <v>0</v>
      </c>
    </row>
    <row r="85" spans="1:11" ht="12.75" customHeight="1" x14ac:dyDescent="0.25">
      <c r="A85" s="606" t="s">
        <v>1055</v>
      </c>
      <c r="B85" s="90"/>
      <c r="C85" s="379">
        <f>SC13AQ!B81</f>
        <v>0</v>
      </c>
      <c r="D85" s="415">
        <f>SC13AQ!C81</f>
        <v>0</v>
      </c>
      <c r="E85" s="331">
        <f>SC13AQ!D81</f>
        <v>0</v>
      </c>
      <c r="F85" s="331">
        <f>SC13AQ!E81</f>
        <v>0</v>
      </c>
      <c r="G85" s="331">
        <f>SC13AQ!F81</f>
        <v>0</v>
      </c>
      <c r="H85" s="331">
        <f>SC13AQ!G81</f>
        <v>0</v>
      </c>
      <c r="I85" s="148">
        <f t="shared" si="17"/>
        <v>0</v>
      </c>
      <c r="J85" s="572" t="str">
        <f t="shared" si="14"/>
        <v/>
      </c>
      <c r="K85" s="332">
        <f>SC13AQ!J81</f>
        <v>0</v>
      </c>
    </row>
    <row r="86" spans="1:11" ht="12.75" customHeight="1" x14ac:dyDescent="0.25">
      <c r="A86" s="606" t="s">
        <v>508</v>
      </c>
      <c r="B86" s="90"/>
      <c r="C86" s="379">
        <f>SC13AQ!B82</f>
        <v>3872522.69</v>
      </c>
      <c r="D86" s="415">
        <f>SC13AQ!C82</f>
        <v>0</v>
      </c>
      <c r="E86" s="331">
        <f>SC13AQ!D82</f>
        <v>0</v>
      </c>
      <c r="F86" s="331">
        <f>SC13AQ!E82</f>
        <v>0</v>
      </c>
      <c r="G86" s="331">
        <f>SC13AQ!F82</f>
        <v>0</v>
      </c>
      <c r="H86" s="331">
        <f>SC13AQ!G82</f>
        <v>0</v>
      </c>
      <c r="I86" s="148">
        <f t="shared" si="17"/>
        <v>0</v>
      </c>
      <c r="J86" s="572" t="str">
        <f t="shared" si="14"/>
        <v/>
      </c>
      <c r="K86" s="332">
        <f>SC13AQ!J82</f>
        <v>0</v>
      </c>
    </row>
    <row r="87" spans="1:11" ht="12.75" customHeight="1" x14ac:dyDescent="0.25">
      <c r="A87" s="606" t="s">
        <v>1180</v>
      </c>
      <c r="B87" s="90"/>
      <c r="C87" s="379">
        <f>SC13AQ!B83</f>
        <v>0</v>
      </c>
      <c r="D87" s="415">
        <f>SC13AQ!C83</f>
        <v>0</v>
      </c>
      <c r="E87" s="331">
        <f>SC13AQ!D83</f>
        <v>0</v>
      </c>
      <c r="F87" s="331">
        <f>SC13AQ!E83</f>
        <v>0</v>
      </c>
      <c r="G87" s="331">
        <f>SC13AQ!F83</f>
        <v>0</v>
      </c>
      <c r="H87" s="331">
        <f>SC13AQ!G83</f>
        <v>0</v>
      </c>
      <c r="I87" s="148">
        <f t="shared" si="17"/>
        <v>0</v>
      </c>
      <c r="J87" s="572" t="str">
        <f t="shared" si="14"/>
        <v/>
      </c>
      <c r="K87" s="332">
        <f>SC13AQ!J83</f>
        <v>0</v>
      </c>
    </row>
    <row r="88" spans="1:11" ht="12.75" customHeight="1" x14ac:dyDescent="0.25">
      <c r="A88" s="606" t="s">
        <v>148</v>
      </c>
      <c r="B88" s="90"/>
      <c r="C88" s="379">
        <f>SC13AQ!B84</f>
        <v>0</v>
      </c>
      <c r="D88" s="415">
        <f>SC13AQ!C84</f>
        <v>0</v>
      </c>
      <c r="E88" s="331">
        <f>SC13AQ!D84</f>
        <v>0</v>
      </c>
      <c r="F88" s="331">
        <f>SC13AQ!E84</f>
        <v>0</v>
      </c>
      <c r="G88" s="331">
        <f>SC13AQ!F84</f>
        <v>0</v>
      </c>
      <c r="H88" s="331">
        <f>SC13AQ!G84</f>
        <v>0</v>
      </c>
      <c r="I88" s="148">
        <f t="shared" si="17"/>
        <v>0</v>
      </c>
      <c r="J88" s="572" t="str">
        <f t="shared" si="14"/>
        <v/>
      </c>
      <c r="K88" s="332">
        <f>SC13AQ!J84</f>
        <v>0</v>
      </c>
    </row>
    <row r="89" spans="1:11" ht="12.75" customHeight="1" x14ac:dyDescent="0.25">
      <c r="A89" s="606" t="s">
        <v>1181</v>
      </c>
      <c r="B89" s="90"/>
      <c r="C89" s="379">
        <f>SC13AQ!B85</f>
        <v>0</v>
      </c>
      <c r="D89" s="415">
        <f>SC13AQ!C85</f>
        <v>0</v>
      </c>
      <c r="E89" s="331">
        <f>SC13AQ!D85</f>
        <v>0</v>
      </c>
      <c r="F89" s="331">
        <f>SC13AQ!E85</f>
        <v>0</v>
      </c>
      <c r="G89" s="331">
        <f>SC13AQ!F85</f>
        <v>0</v>
      </c>
      <c r="H89" s="331">
        <f>SC13AQ!G85</f>
        <v>0</v>
      </c>
      <c r="I89" s="148">
        <f t="shared" si="17"/>
        <v>0</v>
      </c>
      <c r="J89" s="572" t="str">
        <f t="shared" si="14"/>
        <v/>
      </c>
      <c r="K89" s="332">
        <f>SC13AQ!J85</f>
        <v>0</v>
      </c>
    </row>
    <row r="90" spans="1:11" ht="12.75" customHeight="1" x14ac:dyDescent="0.25">
      <c r="A90" s="606" t="s">
        <v>1182</v>
      </c>
      <c r="B90" s="90"/>
      <c r="C90" s="379">
        <f>SC13AQ!B86</f>
        <v>0</v>
      </c>
      <c r="D90" s="415">
        <f>SC13AQ!C86</f>
        <v>0</v>
      </c>
      <c r="E90" s="331">
        <f>SC13AQ!D86</f>
        <v>0</v>
      </c>
      <c r="F90" s="331">
        <f>SC13AQ!E86</f>
        <v>0</v>
      </c>
      <c r="G90" s="331">
        <f>SC13AQ!F86</f>
        <v>0</v>
      </c>
      <c r="H90" s="331">
        <f>SC13AQ!G86</f>
        <v>0</v>
      </c>
      <c r="I90" s="148">
        <f t="shared" si="17"/>
        <v>0</v>
      </c>
      <c r="J90" s="572" t="str">
        <f t="shared" si="14"/>
        <v/>
      </c>
      <c r="K90" s="332">
        <f>SC13AQ!J86</f>
        <v>0</v>
      </c>
    </row>
    <row r="91" spans="1:11" ht="12.75" customHeight="1" x14ac:dyDescent="0.25">
      <c r="A91" s="606" t="s">
        <v>1183</v>
      </c>
      <c r="B91" s="90"/>
      <c r="C91" s="379">
        <f>SC13AQ!B87</f>
        <v>0</v>
      </c>
      <c r="D91" s="415">
        <f>SC13AQ!C87</f>
        <v>0</v>
      </c>
      <c r="E91" s="331">
        <f>SC13AQ!D87</f>
        <v>0</v>
      </c>
      <c r="F91" s="331">
        <f>SC13AQ!E87</f>
        <v>0</v>
      </c>
      <c r="G91" s="331">
        <f>SC13AQ!F87</f>
        <v>0</v>
      </c>
      <c r="H91" s="331">
        <f>SC13AQ!G87</f>
        <v>0</v>
      </c>
      <c r="I91" s="148">
        <f t="shared" si="17"/>
        <v>0</v>
      </c>
      <c r="J91" s="572" t="str">
        <f t="shared" si="14"/>
        <v/>
      </c>
      <c r="K91" s="332">
        <f>SC13AQ!J87</f>
        <v>0</v>
      </c>
    </row>
    <row r="92" spans="1:11" ht="12.75" customHeight="1" x14ac:dyDescent="0.25">
      <c r="A92" s="606" t="s">
        <v>1184</v>
      </c>
      <c r="B92" s="90"/>
      <c r="C92" s="379">
        <f>SC13AQ!B88</f>
        <v>0</v>
      </c>
      <c r="D92" s="415">
        <f>SC13AQ!C88</f>
        <v>0</v>
      </c>
      <c r="E92" s="331">
        <f>SC13AQ!D88</f>
        <v>0</v>
      </c>
      <c r="F92" s="331">
        <f>SC13AQ!E88</f>
        <v>0</v>
      </c>
      <c r="G92" s="331">
        <f>SC13AQ!F88</f>
        <v>0</v>
      </c>
      <c r="H92" s="331">
        <f>SC13AQ!G88</f>
        <v>0</v>
      </c>
      <c r="I92" s="148">
        <f t="shared" si="17"/>
        <v>0</v>
      </c>
      <c r="J92" s="572" t="str">
        <f t="shared" si="14"/>
        <v/>
      </c>
      <c r="K92" s="332">
        <f>SC13AQ!J88</f>
        <v>0</v>
      </c>
    </row>
    <row r="93" spans="1:11" ht="12.75" customHeight="1" x14ac:dyDescent="0.25">
      <c r="A93" s="606" t="s">
        <v>402</v>
      </c>
      <c r="B93" s="90"/>
      <c r="C93" s="379">
        <f>SC13AQ!B89</f>
        <v>0</v>
      </c>
      <c r="D93" s="415">
        <f>SC13AQ!C89</f>
        <v>0</v>
      </c>
      <c r="E93" s="331">
        <f>SC13AQ!D89</f>
        <v>0</v>
      </c>
      <c r="F93" s="331">
        <f>SC13AQ!E89</f>
        <v>0</v>
      </c>
      <c r="G93" s="331">
        <f>SC13AQ!F89</f>
        <v>0</v>
      </c>
      <c r="H93" s="331">
        <f>SC13AQ!G89</f>
        <v>0</v>
      </c>
      <c r="I93" s="148">
        <f t="shared" si="17"/>
        <v>0</v>
      </c>
      <c r="J93" s="572" t="str">
        <f t="shared" si="14"/>
        <v/>
      </c>
      <c r="K93" s="332">
        <f>SC13AQ!J89</f>
        <v>0</v>
      </c>
    </row>
    <row r="94" spans="1:11" ht="12.75" customHeight="1" x14ac:dyDescent="0.25">
      <c r="A94" s="606" t="s">
        <v>1185</v>
      </c>
      <c r="B94" s="90"/>
      <c r="C94" s="379">
        <f>SC13AQ!B90</f>
        <v>35433419.200000003</v>
      </c>
      <c r="D94" s="415">
        <f>SC13AQ!C90</f>
        <v>12667000</v>
      </c>
      <c r="E94" s="331">
        <f>SC13AQ!D90</f>
        <v>26567000</v>
      </c>
      <c r="F94" s="331">
        <f>SC13AQ!E90</f>
        <v>0</v>
      </c>
      <c r="G94" s="331">
        <f>SC13AQ!F90</f>
        <v>11509806.369999999</v>
      </c>
      <c r="H94" s="331">
        <f>SC13AQ!G90</f>
        <v>18065331.5</v>
      </c>
      <c r="I94" s="148">
        <f t="shared" si="17"/>
        <v>6555525.1300000008</v>
      </c>
      <c r="J94" s="572">
        <f>IF(H94=0,"",I94/H94)</f>
        <v>0.36287876200887875</v>
      </c>
      <c r="K94" s="332">
        <f>SC13AQ!J90</f>
        <v>26567000</v>
      </c>
    </row>
    <row r="95" spans="1:11" ht="12.75" customHeight="1" x14ac:dyDescent="0.25">
      <c r="A95" s="606" t="s">
        <v>401</v>
      </c>
      <c r="B95" s="90"/>
      <c r="C95" s="379">
        <f>SC13AQ!B91</f>
        <v>0</v>
      </c>
      <c r="D95" s="415">
        <f>SC13AQ!C91</f>
        <v>0</v>
      </c>
      <c r="E95" s="331">
        <f>SC13AQ!D91</f>
        <v>0</v>
      </c>
      <c r="F95" s="331">
        <f>SC13AQ!E91</f>
        <v>0</v>
      </c>
      <c r="G95" s="331">
        <f>SC13AQ!F91</f>
        <v>0</v>
      </c>
      <c r="H95" s="331">
        <f>SC13AQ!G91</f>
        <v>0</v>
      </c>
      <c r="I95" s="148">
        <f t="shared" si="17"/>
        <v>0</v>
      </c>
      <c r="J95" s="572" t="str">
        <f t="shared" ref="J95:J158" si="18">IF(H95=0,"",I95/H95)</f>
        <v/>
      </c>
      <c r="K95" s="332">
        <f>SC13AQ!J91</f>
        <v>0</v>
      </c>
    </row>
    <row r="96" spans="1:11" ht="12.75" customHeight="1" x14ac:dyDescent="0.25">
      <c r="A96" s="606" t="s">
        <v>1186</v>
      </c>
      <c r="B96" s="90"/>
      <c r="C96" s="379">
        <f>SC13AQ!B92</f>
        <v>0</v>
      </c>
      <c r="D96" s="415">
        <f>SC13AQ!C92</f>
        <v>19500000</v>
      </c>
      <c r="E96" s="331">
        <f>SC13AQ!D92</f>
        <v>19500000</v>
      </c>
      <c r="F96" s="331">
        <f>SC13AQ!E92</f>
        <v>0</v>
      </c>
      <c r="G96" s="331">
        <f>SC13AQ!F92</f>
        <v>0</v>
      </c>
      <c r="H96" s="331">
        <f>SC13AQ!G92</f>
        <v>0</v>
      </c>
      <c r="I96" s="148">
        <f t="shared" si="17"/>
        <v>0</v>
      </c>
      <c r="J96" s="572" t="str">
        <f t="shared" si="18"/>
        <v/>
      </c>
      <c r="K96" s="332">
        <f>SC13AQ!J92</f>
        <v>19500000</v>
      </c>
    </row>
    <row r="97" spans="1:11" ht="12.75" customHeight="1" x14ac:dyDescent="0.25">
      <c r="A97" s="606" t="s">
        <v>1187</v>
      </c>
      <c r="B97" s="90"/>
      <c r="C97" s="379">
        <f>SC13AQ!B93</f>
        <v>0</v>
      </c>
      <c r="D97" s="415">
        <f>SC13AQ!C93</f>
        <v>0</v>
      </c>
      <c r="E97" s="331">
        <f>SC13AQ!D93</f>
        <v>0</v>
      </c>
      <c r="F97" s="331">
        <f>SC13AQ!E93</f>
        <v>0</v>
      </c>
      <c r="G97" s="331">
        <f>SC13AQ!F93</f>
        <v>0</v>
      </c>
      <c r="H97" s="331">
        <f>SC13AQ!G93</f>
        <v>0</v>
      </c>
      <c r="I97" s="148">
        <f t="shared" si="17"/>
        <v>0</v>
      </c>
      <c r="J97" s="572" t="str">
        <f t="shared" si="18"/>
        <v/>
      </c>
      <c r="K97" s="332">
        <f>SC13AQ!J93</f>
        <v>0</v>
      </c>
    </row>
    <row r="98" spans="1:11" ht="12.75" customHeight="1" x14ac:dyDescent="0.25">
      <c r="A98" s="606" t="s">
        <v>1122</v>
      </c>
      <c r="B98" s="90"/>
      <c r="C98" s="379">
        <f>SC13AQ!B94</f>
        <v>0</v>
      </c>
      <c r="D98" s="415">
        <f>SC13AQ!C94</f>
        <v>0</v>
      </c>
      <c r="E98" s="331">
        <f>SC13AQ!D94</f>
        <v>0</v>
      </c>
      <c r="F98" s="331">
        <f>SC13AQ!E94</f>
        <v>0</v>
      </c>
      <c r="G98" s="331">
        <f>SC13AQ!F94</f>
        <v>0</v>
      </c>
      <c r="H98" s="331">
        <f>SC13AQ!G94</f>
        <v>0</v>
      </c>
      <c r="I98" s="148">
        <f t="shared" si="17"/>
        <v>0</v>
      </c>
      <c r="J98" s="572" t="str">
        <f t="shared" si="18"/>
        <v/>
      </c>
      <c r="K98" s="332">
        <f>SC13AQ!J94</f>
        <v>0</v>
      </c>
    </row>
    <row r="99" spans="1:11" ht="12.75" customHeight="1" x14ac:dyDescent="0.25">
      <c r="A99" s="30" t="s">
        <v>1188</v>
      </c>
      <c r="B99" s="90"/>
      <c r="C99" s="74">
        <f>SUM(C100:C102)</f>
        <v>31463494.34</v>
      </c>
      <c r="D99" s="148">
        <f t="shared" ref="D99:K99" si="19">SUM(D100:D102)</f>
        <v>12628000</v>
      </c>
      <c r="E99" s="34">
        <f t="shared" si="19"/>
        <v>12628000</v>
      </c>
      <c r="F99" s="34">
        <f t="shared" si="19"/>
        <v>0</v>
      </c>
      <c r="G99" s="34">
        <f t="shared" si="19"/>
        <v>10383379.810000001</v>
      </c>
      <c r="H99" s="34">
        <f t="shared" si="19"/>
        <v>7628000</v>
      </c>
      <c r="I99" s="148">
        <f t="shared" si="17"/>
        <v>-2755379.8100000005</v>
      </c>
      <c r="J99" s="572">
        <f t="shared" si="18"/>
        <v>-0.36121916754063982</v>
      </c>
      <c r="K99" s="78">
        <f t="shared" si="19"/>
        <v>12628000</v>
      </c>
    </row>
    <row r="100" spans="1:11" ht="12.75" customHeight="1" x14ac:dyDescent="0.25">
      <c r="A100" s="606" t="s">
        <v>1189</v>
      </c>
      <c r="B100" s="90"/>
      <c r="C100" s="379">
        <f>SC13AQ!B96</f>
        <v>0</v>
      </c>
      <c r="D100" s="415">
        <f>SC13AQ!C96</f>
        <v>0</v>
      </c>
      <c r="E100" s="331">
        <f>SC13AQ!D96</f>
        <v>0</v>
      </c>
      <c r="F100" s="331">
        <f>SC13AQ!E96</f>
        <v>0</v>
      </c>
      <c r="G100" s="331">
        <f>SC13AQ!F96</f>
        <v>0</v>
      </c>
      <c r="H100" s="331">
        <f>SC13AQ!G96</f>
        <v>0</v>
      </c>
      <c r="I100" s="148">
        <f t="shared" si="17"/>
        <v>0</v>
      </c>
      <c r="J100" s="572" t="str">
        <f t="shared" si="18"/>
        <v/>
      </c>
      <c r="K100" s="332">
        <f>SC13AQ!J96</f>
        <v>0</v>
      </c>
    </row>
    <row r="101" spans="1:11" ht="12.75" customHeight="1" x14ac:dyDescent="0.25">
      <c r="A101" s="606" t="s">
        <v>1190</v>
      </c>
      <c r="B101" s="90"/>
      <c r="C101" s="379">
        <f>SC13AQ!B97</f>
        <v>31463494.34</v>
      </c>
      <c r="D101" s="415">
        <f>SC13AQ!C97</f>
        <v>12628000</v>
      </c>
      <c r="E101" s="331">
        <f>SC13AQ!D97</f>
        <v>12628000</v>
      </c>
      <c r="F101" s="331">
        <f>SC13AQ!E97</f>
        <v>0</v>
      </c>
      <c r="G101" s="331">
        <f>SC13AQ!F97</f>
        <v>10383379.810000001</v>
      </c>
      <c r="H101" s="331">
        <f>SC13AQ!G97</f>
        <v>7628000</v>
      </c>
      <c r="I101" s="148">
        <f t="shared" si="17"/>
        <v>-2755379.8100000005</v>
      </c>
      <c r="J101" s="572">
        <f t="shared" si="18"/>
        <v>-0.36121916754063982</v>
      </c>
      <c r="K101" s="332">
        <f>SC13AQ!J97</f>
        <v>12628000</v>
      </c>
    </row>
    <row r="102" spans="1:11" ht="12.75" customHeight="1" x14ac:dyDescent="0.25">
      <c r="A102" s="606" t="s">
        <v>1122</v>
      </c>
      <c r="B102" s="90"/>
      <c r="C102" s="379">
        <f>SC13AQ!B98</f>
        <v>0</v>
      </c>
      <c r="D102" s="415">
        <f>SC13AQ!C98</f>
        <v>0</v>
      </c>
      <c r="E102" s="331">
        <f>SC13AQ!D98</f>
        <v>0</v>
      </c>
      <c r="F102" s="331">
        <f>SC13AQ!E98</f>
        <v>0</v>
      </c>
      <c r="G102" s="331">
        <f>SC13AQ!F98</f>
        <v>0</v>
      </c>
      <c r="H102" s="331">
        <f>SC13AQ!G98</f>
        <v>0</v>
      </c>
      <c r="I102" s="148">
        <f t="shared" si="17"/>
        <v>0</v>
      </c>
      <c r="J102" s="572" t="str">
        <f t="shared" si="18"/>
        <v/>
      </c>
      <c r="K102" s="332">
        <f>SC13AQ!J98</f>
        <v>0</v>
      </c>
    </row>
    <row r="103" spans="1:11" ht="12.75" customHeight="1" x14ac:dyDescent="0.25">
      <c r="A103" s="29" t="s">
        <v>618</v>
      </c>
      <c r="B103" s="90"/>
      <c r="C103" s="74">
        <f>SUM(C104:C108)</f>
        <v>0</v>
      </c>
      <c r="D103" s="148">
        <f t="shared" ref="D103:K103" si="20">SUM(D104:D108)</f>
        <v>0</v>
      </c>
      <c r="E103" s="34">
        <f t="shared" si="20"/>
        <v>0</v>
      </c>
      <c r="F103" s="34">
        <f t="shared" si="20"/>
        <v>0</v>
      </c>
      <c r="G103" s="34">
        <f t="shared" si="20"/>
        <v>0</v>
      </c>
      <c r="H103" s="34">
        <f t="shared" si="20"/>
        <v>0</v>
      </c>
      <c r="I103" s="148">
        <f t="shared" si="17"/>
        <v>0</v>
      </c>
      <c r="J103" s="572" t="str">
        <f t="shared" si="18"/>
        <v/>
      </c>
      <c r="K103" s="78">
        <f t="shared" si="20"/>
        <v>0</v>
      </c>
    </row>
    <row r="104" spans="1:11" ht="12.75" customHeight="1" x14ac:dyDescent="0.25">
      <c r="A104" s="30" t="s">
        <v>1192</v>
      </c>
      <c r="B104" s="90"/>
      <c r="C104" s="379">
        <f>SC13AQ!B101</f>
        <v>0</v>
      </c>
      <c r="D104" s="415">
        <f>SC13AQ!C101</f>
        <v>0</v>
      </c>
      <c r="E104" s="331">
        <f>SC13AQ!D101</f>
        <v>0</v>
      </c>
      <c r="F104" s="331">
        <f>SC13AQ!E101</f>
        <v>0</v>
      </c>
      <c r="G104" s="331">
        <f>SC13AQ!F101</f>
        <v>0</v>
      </c>
      <c r="H104" s="331">
        <f>SC13AQ!G101</f>
        <v>0</v>
      </c>
      <c r="I104" s="148">
        <f t="shared" si="17"/>
        <v>0</v>
      </c>
      <c r="J104" s="572" t="str">
        <f t="shared" si="18"/>
        <v/>
      </c>
      <c r="K104" s="332">
        <f>SC13AQ!J101</f>
        <v>0</v>
      </c>
    </row>
    <row r="105" spans="1:11" ht="12.75" customHeight="1" x14ac:dyDescent="0.25">
      <c r="A105" s="30" t="s">
        <v>1193</v>
      </c>
      <c r="B105" s="90"/>
      <c r="C105" s="379">
        <f>SC13AQ!B103</f>
        <v>0</v>
      </c>
      <c r="D105" s="415">
        <f>SC13AQ!C102</f>
        <v>0</v>
      </c>
      <c r="E105" s="331">
        <f>SC13AQ!D102</f>
        <v>0</v>
      </c>
      <c r="F105" s="331">
        <f>SC13AQ!E102</f>
        <v>0</v>
      </c>
      <c r="G105" s="331">
        <f>SC13AQ!F102</f>
        <v>0</v>
      </c>
      <c r="H105" s="331">
        <f>SC13AQ!G102</f>
        <v>0</v>
      </c>
      <c r="I105" s="148">
        <f t="shared" si="17"/>
        <v>0</v>
      </c>
      <c r="J105" s="572" t="str">
        <f t="shared" si="18"/>
        <v/>
      </c>
      <c r="K105" s="332">
        <f>SC13AQ!J102</f>
        <v>0</v>
      </c>
    </row>
    <row r="106" spans="1:11" ht="12.75" customHeight="1" x14ac:dyDescent="0.25">
      <c r="A106" s="30" t="s">
        <v>1194</v>
      </c>
      <c r="B106" s="90"/>
      <c r="C106" s="379">
        <f>SC13AQ!B105</f>
        <v>0</v>
      </c>
      <c r="D106" s="415">
        <f>SC13AQ!C103</f>
        <v>0</v>
      </c>
      <c r="E106" s="331">
        <f>SC13AQ!D103</f>
        <v>0</v>
      </c>
      <c r="F106" s="331">
        <f>SC13AQ!E103</f>
        <v>0</v>
      </c>
      <c r="G106" s="331">
        <f>SC13AQ!F103</f>
        <v>0</v>
      </c>
      <c r="H106" s="331">
        <f>SC13AQ!G103</f>
        <v>0</v>
      </c>
      <c r="I106" s="148">
        <f t="shared" si="17"/>
        <v>0</v>
      </c>
      <c r="J106" s="572" t="str">
        <f t="shared" si="18"/>
        <v/>
      </c>
      <c r="K106" s="332">
        <f>SC13AQ!J103</f>
        <v>0</v>
      </c>
    </row>
    <row r="107" spans="1:11" ht="12.75" customHeight="1" x14ac:dyDescent="0.25">
      <c r="A107" s="30" t="s">
        <v>1195</v>
      </c>
      <c r="B107" s="90"/>
      <c r="C107" s="379">
        <f>SC13AQ!B107</f>
        <v>0</v>
      </c>
      <c r="D107" s="415">
        <f>SC13AQ!C104</f>
        <v>0</v>
      </c>
      <c r="E107" s="331">
        <f>SC13AQ!D104</f>
        <v>0</v>
      </c>
      <c r="F107" s="331">
        <f>SC13AQ!E104</f>
        <v>0</v>
      </c>
      <c r="G107" s="331">
        <f>SC13AQ!F104</f>
        <v>0</v>
      </c>
      <c r="H107" s="331">
        <f>SC13AQ!G104</f>
        <v>0</v>
      </c>
      <c r="I107" s="148">
        <f t="shared" si="17"/>
        <v>0</v>
      </c>
      <c r="J107" s="572" t="str">
        <f t="shared" si="18"/>
        <v/>
      </c>
      <c r="K107" s="332">
        <f>SC13AQ!J104</f>
        <v>0</v>
      </c>
    </row>
    <row r="108" spans="1:11" ht="12.75" customHeight="1" x14ac:dyDescent="0.25">
      <c r="A108" s="30" t="s">
        <v>1196</v>
      </c>
      <c r="B108" s="90"/>
      <c r="C108" s="379">
        <f>SC13AQ!B109</f>
        <v>0</v>
      </c>
      <c r="D108" s="415">
        <f>SC13AQ!C105</f>
        <v>0</v>
      </c>
      <c r="E108" s="331">
        <f>SC13AQ!D105</f>
        <v>0</v>
      </c>
      <c r="F108" s="331">
        <f>SC13AQ!E105</f>
        <v>0</v>
      </c>
      <c r="G108" s="331">
        <f>SC13AQ!F105</f>
        <v>0</v>
      </c>
      <c r="H108" s="331">
        <f>SC13AQ!G105</f>
        <v>0</v>
      </c>
      <c r="I108" s="148">
        <f t="shared" si="17"/>
        <v>0</v>
      </c>
      <c r="J108" s="572" t="str">
        <f t="shared" si="18"/>
        <v/>
      </c>
      <c r="K108" s="332">
        <f>SC13AQ!J105</f>
        <v>0</v>
      </c>
    </row>
    <row r="109" spans="1:11" ht="5.0999999999999996" customHeight="1" x14ac:dyDescent="0.25">
      <c r="A109" s="32"/>
      <c r="B109" s="90"/>
      <c r="C109" s="74"/>
      <c r="D109" s="148"/>
      <c r="E109" s="34"/>
      <c r="F109" s="34"/>
      <c r="G109" s="34"/>
      <c r="H109" s="34"/>
      <c r="I109" s="148">
        <f t="shared" si="17"/>
        <v>0</v>
      </c>
      <c r="J109" s="572" t="str">
        <f t="shared" si="18"/>
        <v/>
      </c>
      <c r="K109" s="78"/>
    </row>
    <row r="110" spans="1:11" ht="12.75" customHeight="1" x14ac:dyDescent="0.25">
      <c r="A110" s="29" t="s">
        <v>619</v>
      </c>
      <c r="B110" s="340"/>
      <c r="C110" s="220">
        <f t="shared" ref="C110:H110" si="21">+C111+C114</f>
        <v>7541705.4500000002</v>
      </c>
      <c r="D110" s="607">
        <f t="shared" si="21"/>
        <v>8400000</v>
      </c>
      <c r="E110" s="221">
        <f t="shared" si="21"/>
        <v>8400000</v>
      </c>
      <c r="F110" s="221">
        <f t="shared" si="21"/>
        <v>0</v>
      </c>
      <c r="G110" s="221">
        <f t="shared" si="21"/>
        <v>10226024</v>
      </c>
      <c r="H110" s="221">
        <f t="shared" si="21"/>
        <v>10880087</v>
      </c>
      <c r="I110" s="148">
        <f t="shared" si="17"/>
        <v>654063</v>
      </c>
      <c r="J110" s="572">
        <f t="shared" si="18"/>
        <v>6.0115603855005938E-2</v>
      </c>
      <c r="K110" s="222">
        <f>+K111+K114</f>
        <v>8400000</v>
      </c>
    </row>
    <row r="111" spans="1:11" ht="12.75" customHeight="1" x14ac:dyDescent="0.25">
      <c r="A111" s="30" t="s">
        <v>1197</v>
      </c>
      <c r="B111" s="90"/>
      <c r="C111" s="74">
        <f t="shared" ref="C111:H111" si="22">SUM(C112:C113)</f>
        <v>0</v>
      </c>
      <c r="D111" s="148">
        <f t="shared" si="22"/>
        <v>0</v>
      </c>
      <c r="E111" s="34">
        <f t="shared" si="22"/>
        <v>0</v>
      </c>
      <c r="F111" s="34">
        <f t="shared" si="22"/>
        <v>0</v>
      </c>
      <c r="G111" s="34">
        <f t="shared" si="22"/>
        <v>0</v>
      </c>
      <c r="H111" s="34">
        <f t="shared" si="22"/>
        <v>0</v>
      </c>
      <c r="I111" s="148">
        <f t="shared" si="17"/>
        <v>0</v>
      </c>
      <c r="J111" s="572" t="str">
        <f t="shared" si="18"/>
        <v/>
      </c>
      <c r="K111" s="78">
        <f>SUM(K112:K113)</f>
        <v>0</v>
      </c>
    </row>
    <row r="112" spans="1:11" ht="12.75" customHeight="1" x14ac:dyDescent="0.25">
      <c r="A112" s="606" t="s">
        <v>1198</v>
      </c>
      <c r="B112" s="90"/>
      <c r="C112" s="379">
        <f>SC13AQ!B112</f>
        <v>0</v>
      </c>
      <c r="D112" s="415">
        <f>SC13AQ!C112</f>
        <v>0</v>
      </c>
      <c r="E112" s="331">
        <f>SC13AQ!D112</f>
        <v>0</v>
      </c>
      <c r="F112" s="331">
        <f>SC13AQ!E112</f>
        <v>0</v>
      </c>
      <c r="G112" s="331">
        <f>SC13AQ!F112</f>
        <v>0</v>
      </c>
      <c r="H112" s="331">
        <f>SC13AQ!G112</f>
        <v>0</v>
      </c>
      <c r="I112" s="148">
        <f t="shared" si="17"/>
        <v>0</v>
      </c>
      <c r="J112" s="572" t="str">
        <f t="shared" si="18"/>
        <v/>
      </c>
      <c r="K112" s="332">
        <f>SC13AQ!J112</f>
        <v>0</v>
      </c>
    </row>
    <row r="113" spans="1:11" ht="12.75" customHeight="1" x14ac:dyDescent="0.25">
      <c r="A113" s="606" t="s">
        <v>1199</v>
      </c>
      <c r="B113" s="90"/>
      <c r="C113" s="379">
        <f>SC13AQ!B113</f>
        <v>0</v>
      </c>
      <c r="D113" s="415">
        <f>SC13AQ!C113</f>
        <v>0</v>
      </c>
      <c r="E113" s="331">
        <f>SC13AQ!D113</f>
        <v>0</v>
      </c>
      <c r="F113" s="331">
        <f>SC13AQ!E113</f>
        <v>0</v>
      </c>
      <c r="G113" s="331">
        <f>SC13AQ!F113</f>
        <v>0</v>
      </c>
      <c r="H113" s="331">
        <f>SC13AQ!G113</f>
        <v>0</v>
      </c>
      <c r="I113" s="148">
        <f t="shared" si="17"/>
        <v>0</v>
      </c>
      <c r="J113" s="572" t="str">
        <f t="shared" si="18"/>
        <v/>
      </c>
      <c r="K113" s="332">
        <f>SC13AQ!J113</f>
        <v>0</v>
      </c>
    </row>
    <row r="114" spans="1:11" ht="12.75" customHeight="1" x14ac:dyDescent="0.25">
      <c r="A114" s="30" t="s">
        <v>1200</v>
      </c>
      <c r="B114" s="90"/>
      <c r="C114" s="74">
        <f t="shared" ref="C114:H114" si="23">SUM(C115:C116)</f>
        <v>7541705.4500000002</v>
      </c>
      <c r="D114" s="148">
        <f t="shared" si="23"/>
        <v>8400000</v>
      </c>
      <c r="E114" s="34">
        <f t="shared" si="23"/>
        <v>8400000</v>
      </c>
      <c r="F114" s="34">
        <f t="shared" si="23"/>
        <v>0</v>
      </c>
      <c r="G114" s="34">
        <f t="shared" si="23"/>
        <v>10226024</v>
      </c>
      <c r="H114" s="34">
        <f t="shared" si="23"/>
        <v>10880087</v>
      </c>
      <c r="I114" s="148">
        <f t="shared" si="17"/>
        <v>654063</v>
      </c>
      <c r="J114" s="572">
        <f t="shared" si="18"/>
        <v>6.0115603855005938E-2</v>
      </c>
      <c r="K114" s="78">
        <f>SUM(K115:K116)</f>
        <v>8400000</v>
      </c>
    </row>
    <row r="115" spans="1:11" ht="12.75" customHeight="1" x14ac:dyDescent="0.25">
      <c r="A115" s="606" t="s">
        <v>1198</v>
      </c>
      <c r="B115" s="90"/>
      <c r="C115" s="379">
        <f>SC13AQ!B115</f>
        <v>7541705.4500000002</v>
      </c>
      <c r="D115" s="415">
        <f>SC13AQ!C115</f>
        <v>8400000</v>
      </c>
      <c r="E115" s="331">
        <f>SC13AQ!D115</f>
        <v>8400000</v>
      </c>
      <c r="F115" s="331">
        <f>SC13AQ!E115</f>
        <v>0</v>
      </c>
      <c r="G115" s="331">
        <f>SC13AQ!F115</f>
        <v>10226024</v>
      </c>
      <c r="H115" s="331">
        <f>SC13AQ!G115</f>
        <v>10880087</v>
      </c>
      <c r="I115" s="148">
        <f t="shared" si="17"/>
        <v>654063</v>
      </c>
      <c r="J115" s="572">
        <f t="shared" si="18"/>
        <v>6.0115603855005938E-2</v>
      </c>
      <c r="K115" s="332">
        <f>SC13AQ!J115</f>
        <v>8400000</v>
      </c>
    </row>
    <row r="116" spans="1:11" ht="12.75" customHeight="1" x14ac:dyDescent="0.25">
      <c r="A116" s="606" t="s">
        <v>1199</v>
      </c>
      <c r="B116" s="90"/>
      <c r="C116" s="379">
        <f>SC13AQ!B116</f>
        <v>0</v>
      </c>
      <c r="D116" s="415">
        <f>SC13AQ!C116</f>
        <v>0</v>
      </c>
      <c r="E116" s="331">
        <f>SC13AQ!D116</f>
        <v>0</v>
      </c>
      <c r="F116" s="331">
        <f>SC13AQ!E116</f>
        <v>0</v>
      </c>
      <c r="G116" s="331">
        <f>SC13AQ!F116</f>
        <v>0</v>
      </c>
      <c r="H116" s="331">
        <f>SC13AQ!G116</f>
        <v>0</v>
      </c>
      <c r="I116" s="148">
        <f t="shared" si="17"/>
        <v>0</v>
      </c>
      <c r="J116" s="572" t="str">
        <f t="shared" si="18"/>
        <v/>
      </c>
      <c r="K116" s="332">
        <f>SC13AQ!J116</f>
        <v>0</v>
      </c>
    </row>
    <row r="117" spans="1:11" ht="12.75" customHeight="1" x14ac:dyDescent="0.25">
      <c r="A117" s="29" t="s">
        <v>620</v>
      </c>
      <c r="B117" s="90"/>
      <c r="C117" s="220">
        <f t="shared" ref="C117:H117" si="24">+C118+C130</f>
        <v>4190166.65</v>
      </c>
      <c r="D117" s="607">
        <f t="shared" si="24"/>
        <v>2829000</v>
      </c>
      <c r="E117" s="221">
        <f t="shared" si="24"/>
        <v>6729000</v>
      </c>
      <c r="F117" s="221">
        <f t="shared" si="24"/>
        <v>104017.09</v>
      </c>
      <c r="G117" s="221">
        <f t="shared" si="24"/>
        <v>2358917.09</v>
      </c>
      <c r="H117" s="221">
        <f t="shared" si="24"/>
        <v>4400000</v>
      </c>
      <c r="I117" s="148">
        <f t="shared" si="17"/>
        <v>2041082.9100000001</v>
      </c>
      <c r="J117" s="572">
        <f t="shared" si="18"/>
        <v>0.46388247954545458</v>
      </c>
      <c r="K117" s="222">
        <f>+K118+K130</f>
        <v>6729000</v>
      </c>
    </row>
    <row r="118" spans="1:11" ht="12.75" customHeight="1" x14ac:dyDescent="0.25">
      <c r="A118" s="30" t="s">
        <v>1201</v>
      </c>
      <c r="B118" s="90"/>
      <c r="C118" s="74">
        <f t="shared" ref="C118:H118" si="25">SUM(C119:C129)</f>
        <v>4190166.65</v>
      </c>
      <c r="D118" s="148">
        <f t="shared" si="25"/>
        <v>2829000</v>
      </c>
      <c r="E118" s="34">
        <f t="shared" si="25"/>
        <v>6729000</v>
      </c>
      <c r="F118" s="34">
        <f t="shared" si="25"/>
        <v>104017.09</v>
      </c>
      <c r="G118" s="34">
        <f t="shared" si="25"/>
        <v>2358917.09</v>
      </c>
      <c r="H118" s="34">
        <f t="shared" si="25"/>
        <v>4400000</v>
      </c>
      <c r="I118" s="148">
        <f t="shared" si="17"/>
        <v>2041082.9100000001</v>
      </c>
      <c r="J118" s="572">
        <f t="shared" si="18"/>
        <v>0.46388247954545458</v>
      </c>
      <c r="K118" s="78">
        <f>SUM(K119:K129)</f>
        <v>6729000</v>
      </c>
    </row>
    <row r="119" spans="1:11" ht="12.75" customHeight="1" x14ac:dyDescent="0.25">
      <c r="A119" s="606" t="s">
        <v>1202</v>
      </c>
      <c r="B119" s="90"/>
      <c r="C119" s="379">
        <f>SC13AQ!B119</f>
        <v>4190166.65</v>
      </c>
      <c r="D119" s="415">
        <f>SC13AQ!C119</f>
        <v>2829000</v>
      </c>
      <c r="E119" s="331">
        <f>SC13AQ!D119</f>
        <v>6729000</v>
      </c>
      <c r="F119" s="331">
        <f>SC13AQ!E119</f>
        <v>104017.09</v>
      </c>
      <c r="G119" s="331">
        <f>SC13AQ!F119</f>
        <v>2358917.09</v>
      </c>
      <c r="H119" s="331">
        <f>SC13AQ!G119</f>
        <v>4400000</v>
      </c>
      <c r="I119" s="148">
        <f t="shared" si="17"/>
        <v>2041082.9100000001</v>
      </c>
      <c r="J119" s="572">
        <f t="shared" si="18"/>
        <v>0.46388247954545458</v>
      </c>
      <c r="K119" s="332">
        <f>SC13AQ!J119</f>
        <v>6729000</v>
      </c>
    </row>
    <row r="120" spans="1:11" ht="12.75" customHeight="1" x14ac:dyDescent="0.25">
      <c r="A120" s="606" t="s">
        <v>1203</v>
      </c>
      <c r="B120" s="90"/>
      <c r="C120" s="379">
        <f>SC13AQ!B120</f>
        <v>0</v>
      </c>
      <c r="D120" s="415">
        <f>SC13AQ!C120</f>
        <v>0</v>
      </c>
      <c r="E120" s="331">
        <f>SC13AQ!D120</f>
        <v>0</v>
      </c>
      <c r="F120" s="331">
        <f>SC13AQ!E120</f>
        <v>0</v>
      </c>
      <c r="G120" s="331">
        <f>SC13AQ!F120</f>
        <v>0</v>
      </c>
      <c r="H120" s="331">
        <f>SC13AQ!G120</f>
        <v>0</v>
      </c>
      <c r="I120" s="148">
        <f t="shared" si="17"/>
        <v>0</v>
      </c>
      <c r="J120" s="572" t="str">
        <f t="shared" si="18"/>
        <v/>
      </c>
      <c r="K120" s="332">
        <f>SC13AQ!J120</f>
        <v>0</v>
      </c>
    </row>
    <row r="121" spans="1:11" ht="12.75" customHeight="1" x14ac:dyDescent="0.25">
      <c r="A121" s="606" t="s">
        <v>1204</v>
      </c>
      <c r="B121" s="90"/>
      <c r="C121" s="379">
        <f>SC13AQ!B121</f>
        <v>0</v>
      </c>
      <c r="D121" s="415">
        <f>SC13AQ!C121</f>
        <v>0</v>
      </c>
      <c r="E121" s="331">
        <f>SC13AQ!D121</f>
        <v>0</v>
      </c>
      <c r="F121" s="331">
        <f>SC13AQ!E121</f>
        <v>0</v>
      </c>
      <c r="G121" s="331">
        <f>SC13AQ!F121</f>
        <v>0</v>
      </c>
      <c r="H121" s="331">
        <f>SC13AQ!G121</f>
        <v>0</v>
      </c>
      <c r="I121" s="148">
        <f t="shared" si="17"/>
        <v>0</v>
      </c>
      <c r="J121" s="572" t="str">
        <f t="shared" si="18"/>
        <v/>
      </c>
      <c r="K121" s="332">
        <f>SC13AQ!J121</f>
        <v>0</v>
      </c>
    </row>
    <row r="122" spans="1:11" ht="12.75" customHeight="1" x14ac:dyDescent="0.25">
      <c r="A122" s="606" t="s">
        <v>1205</v>
      </c>
      <c r="B122" s="90"/>
      <c r="C122" s="379">
        <f>SC13AQ!B122</f>
        <v>0</v>
      </c>
      <c r="D122" s="415">
        <f>SC13AQ!C122</f>
        <v>0</v>
      </c>
      <c r="E122" s="331">
        <f>SC13AQ!D122</f>
        <v>0</v>
      </c>
      <c r="F122" s="331">
        <f>SC13AQ!E122</f>
        <v>0</v>
      </c>
      <c r="G122" s="331">
        <f>SC13AQ!F122</f>
        <v>0</v>
      </c>
      <c r="H122" s="331">
        <f>SC13AQ!G122</f>
        <v>0</v>
      </c>
      <c r="I122" s="148">
        <f t="shared" si="17"/>
        <v>0</v>
      </c>
      <c r="J122" s="572" t="str">
        <f t="shared" si="18"/>
        <v/>
      </c>
      <c r="K122" s="332">
        <f>SC13AQ!J122</f>
        <v>0</v>
      </c>
    </row>
    <row r="123" spans="1:11" ht="12.75" customHeight="1" x14ac:dyDescent="0.25">
      <c r="A123" s="606" t="s">
        <v>1206</v>
      </c>
      <c r="B123" s="90"/>
      <c r="C123" s="379">
        <f>SC13AQ!B123</f>
        <v>0</v>
      </c>
      <c r="D123" s="415">
        <f>SC13AQ!C123</f>
        <v>0</v>
      </c>
      <c r="E123" s="331">
        <f>SC13AQ!D123</f>
        <v>0</v>
      </c>
      <c r="F123" s="331">
        <f>SC13AQ!E123</f>
        <v>0</v>
      </c>
      <c r="G123" s="331">
        <f>SC13AQ!F123</f>
        <v>0</v>
      </c>
      <c r="H123" s="331">
        <f>SC13AQ!G123</f>
        <v>0</v>
      </c>
      <c r="I123" s="148">
        <f t="shared" si="17"/>
        <v>0</v>
      </c>
      <c r="J123" s="572" t="str">
        <f t="shared" si="18"/>
        <v/>
      </c>
      <c r="K123" s="332">
        <f>SC13AQ!J123</f>
        <v>0</v>
      </c>
    </row>
    <row r="124" spans="1:11" ht="12.75" customHeight="1" x14ac:dyDescent="0.25">
      <c r="A124" s="606" t="s">
        <v>1207</v>
      </c>
      <c r="B124" s="90"/>
      <c r="C124" s="379">
        <f>SC13AQ!B124</f>
        <v>0</v>
      </c>
      <c r="D124" s="415">
        <f>SC13AQ!C124</f>
        <v>0</v>
      </c>
      <c r="E124" s="331">
        <f>SC13AQ!D124</f>
        <v>0</v>
      </c>
      <c r="F124" s="331">
        <f>SC13AQ!E124</f>
        <v>0</v>
      </c>
      <c r="G124" s="331">
        <f>SC13AQ!F124</f>
        <v>0</v>
      </c>
      <c r="H124" s="331">
        <f>SC13AQ!G124</f>
        <v>0</v>
      </c>
      <c r="I124" s="148">
        <f t="shared" si="17"/>
        <v>0</v>
      </c>
      <c r="J124" s="572" t="str">
        <f t="shared" si="18"/>
        <v/>
      </c>
      <c r="K124" s="332">
        <f>SC13AQ!J124</f>
        <v>0</v>
      </c>
    </row>
    <row r="125" spans="1:11" ht="12.75" customHeight="1" x14ac:dyDescent="0.25">
      <c r="A125" s="606" t="s">
        <v>1208</v>
      </c>
      <c r="B125" s="90"/>
      <c r="C125" s="379">
        <f>SC13AQ!B125</f>
        <v>0</v>
      </c>
      <c r="D125" s="415">
        <f>SC13AQ!C125</f>
        <v>0</v>
      </c>
      <c r="E125" s="331">
        <f>SC13AQ!D125</f>
        <v>0</v>
      </c>
      <c r="F125" s="331">
        <f>SC13AQ!E125</f>
        <v>0</v>
      </c>
      <c r="G125" s="331">
        <f>SC13AQ!F125</f>
        <v>0</v>
      </c>
      <c r="H125" s="331">
        <f>SC13AQ!G125</f>
        <v>0</v>
      </c>
      <c r="I125" s="148">
        <f t="shared" si="17"/>
        <v>0</v>
      </c>
      <c r="J125" s="572" t="str">
        <f t="shared" si="18"/>
        <v/>
      </c>
      <c r="K125" s="332">
        <f>SC13AQ!J125</f>
        <v>0</v>
      </c>
    </row>
    <row r="126" spans="1:11" ht="12.75" customHeight="1" x14ac:dyDescent="0.25">
      <c r="A126" s="606" t="s">
        <v>1209</v>
      </c>
      <c r="B126" s="90"/>
      <c r="C126" s="379">
        <f>SC13AQ!B126</f>
        <v>0</v>
      </c>
      <c r="D126" s="415">
        <f>SC13AQ!C126</f>
        <v>0</v>
      </c>
      <c r="E126" s="331">
        <f>SC13AQ!D126</f>
        <v>0</v>
      </c>
      <c r="F126" s="331">
        <f>SC13AQ!E126</f>
        <v>0</v>
      </c>
      <c r="G126" s="331">
        <f>SC13AQ!F126</f>
        <v>0</v>
      </c>
      <c r="H126" s="331">
        <f>SC13AQ!G126</f>
        <v>0</v>
      </c>
      <c r="I126" s="148">
        <f t="shared" si="17"/>
        <v>0</v>
      </c>
      <c r="J126" s="572" t="str">
        <f t="shared" si="18"/>
        <v/>
      </c>
      <c r="K126" s="332">
        <f>SC13AQ!J126</f>
        <v>0</v>
      </c>
    </row>
    <row r="127" spans="1:11" ht="12.75" customHeight="1" x14ac:dyDescent="0.25">
      <c r="A127" s="606" t="s">
        <v>1210</v>
      </c>
      <c r="B127" s="90"/>
      <c r="C127" s="379">
        <f>SC13AQ!B127</f>
        <v>0</v>
      </c>
      <c r="D127" s="415">
        <f>SC13AQ!C127</f>
        <v>0</v>
      </c>
      <c r="E127" s="331">
        <f>SC13AQ!D127</f>
        <v>0</v>
      </c>
      <c r="F127" s="331">
        <f>SC13AQ!E127</f>
        <v>0</v>
      </c>
      <c r="G127" s="331">
        <f>SC13AQ!F127</f>
        <v>0</v>
      </c>
      <c r="H127" s="331">
        <f>SC13AQ!G127</f>
        <v>0</v>
      </c>
      <c r="I127" s="148">
        <f t="shared" si="17"/>
        <v>0</v>
      </c>
      <c r="J127" s="572" t="str">
        <f t="shared" si="18"/>
        <v/>
      </c>
      <c r="K127" s="332">
        <f>SC13AQ!J127</f>
        <v>0</v>
      </c>
    </row>
    <row r="128" spans="1:11" ht="12.75" customHeight="1" x14ac:dyDescent="0.25">
      <c r="A128" s="606" t="s">
        <v>1211</v>
      </c>
      <c r="B128" s="90"/>
      <c r="C128" s="379">
        <f>SC13AQ!B128</f>
        <v>0</v>
      </c>
      <c r="D128" s="415">
        <f>SC13AQ!C128</f>
        <v>0</v>
      </c>
      <c r="E128" s="331">
        <f>SC13AQ!D128</f>
        <v>0</v>
      </c>
      <c r="F128" s="331">
        <f>SC13AQ!E128</f>
        <v>0</v>
      </c>
      <c r="G128" s="331">
        <f>SC13AQ!F128</f>
        <v>0</v>
      </c>
      <c r="H128" s="331">
        <f>SC13AQ!G128</f>
        <v>0</v>
      </c>
      <c r="I128" s="148">
        <f t="shared" si="17"/>
        <v>0</v>
      </c>
      <c r="J128" s="572" t="str">
        <f t="shared" si="18"/>
        <v/>
      </c>
      <c r="K128" s="332">
        <f>SC13AQ!J128</f>
        <v>0</v>
      </c>
    </row>
    <row r="129" spans="1:11" ht="12.75" customHeight="1" x14ac:dyDescent="0.25">
      <c r="A129" s="606" t="s">
        <v>1122</v>
      </c>
      <c r="B129" s="90"/>
      <c r="C129" s="379">
        <f>SC13AQ!B129</f>
        <v>0</v>
      </c>
      <c r="D129" s="415">
        <f>SC13AQ!C129</f>
        <v>0</v>
      </c>
      <c r="E129" s="331">
        <f>SC13AQ!D129</f>
        <v>0</v>
      </c>
      <c r="F129" s="331">
        <f>SC13AQ!E129</f>
        <v>0</v>
      </c>
      <c r="G129" s="331">
        <f>SC13AQ!F129</f>
        <v>0</v>
      </c>
      <c r="H129" s="331">
        <f>SC13AQ!G129</f>
        <v>0</v>
      </c>
      <c r="I129" s="148">
        <f t="shared" si="17"/>
        <v>0</v>
      </c>
      <c r="J129" s="572" t="str">
        <f t="shared" si="18"/>
        <v/>
      </c>
      <c r="K129" s="332">
        <f>SC13AQ!J129</f>
        <v>0</v>
      </c>
    </row>
    <row r="130" spans="1:11" ht="12.75" customHeight="1" x14ac:dyDescent="0.25">
      <c r="A130" s="30" t="s">
        <v>659</v>
      </c>
      <c r="B130" s="90"/>
      <c r="C130" s="74">
        <f t="shared" ref="C130:H130" si="26">SUM(C131:C133)</f>
        <v>0</v>
      </c>
      <c r="D130" s="148">
        <f t="shared" si="26"/>
        <v>0</v>
      </c>
      <c r="E130" s="34">
        <f t="shared" si="26"/>
        <v>0</v>
      </c>
      <c r="F130" s="34">
        <f t="shared" si="26"/>
        <v>0</v>
      </c>
      <c r="G130" s="34">
        <f t="shared" si="26"/>
        <v>0</v>
      </c>
      <c r="H130" s="34">
        <f t="shared" si="26"/>
        <v>0</v>
      </c>
      <c r="I130" s="148">
        <f t="shared" si="17"/>
        <v>0</v>
      </c>
      <c r="J130" s="572" t="str">
        <f t="shared" si="18"/>
        <v/>
      </c>
      <c r="K130" s="78">
        <f>SUM(K131:K133)</f>
        <v>0</v>
      </c>
    </row>
    <row r="131" spans="1:11" ht="12.75" customHeight="1" x14ac:dyDescent="0.25">
      <c r="A131" s="606" t="s">
        <v>1212</v>
      </c>
      <c r="B131" s="90"/>
      <c r="C131" s="379">
        <f>SC13AQ!B131</f>
        <v>0</v>
      </c>
      <c r="D131" s="415">
        <f>SC13AQ!C131</f>
        <v>0</v>
      </c>
      <c r="E131" s="331">
        <f>SC13AQ!D131</f>
        <v>0</v>
      </c>
      <c r="F131" s="331">
        <f>SC13AQ!E131</f>
        <v>0</v>
      </c>
      <c r="G131" s="331">
        <f>SC13AQ!F131</f>
        <v>0</v>
      </c>
      <c r="H131" s="331">
        <f>SC13AQ!G131</f>
        <v>0</v>
      </c>
      <c r="I131" s="148">
        <f t="shared" si="17"/>
        <v>0</v>
      </c>
      <c r="J131" s="572" t="str">
        <f t="shared" si="18"/>
        <v/>
      </c>
      <c r="K131" s="332">
        <f>SC13AQ!J131</f>
        <v>0</v>
      </c>
    </row>
    <row r="132" spans="1:11" ht="12.75" customHeight="1" x14ac:dyDescent="0.25">
      <c r="A132" s="606" t="s">
        <v>1213</v>
      </c>
      <c r="B132" s="90"/>
      <c r="C132" s="379">
        <f>SC13AQ!B132</f>
        <v>0</v>
      </c>
      <c r="D132" s="415">
        <f>SC13AQ!C132</f>
        <v>0</v>
      </c>
      <c r="E132" s="331">
        <f>SC13AQ!D132</f>
        <v>0</v>
      </c>
      <c r="F132" s="331">
        <f>SC13AQ!E132</f>
        <v>0</v>
      </c>
      <c r="G132" s="331">
        <f>SC13AQ!F132</f>
        <v>0</v>
      </c>
      <c r="H132" s="331">
        <f>SC13AQ!G132</f>
        <v>0</v>
      </c>
      <c r="I132" s="148">
        <f t="shared" si="17"/>
        <v>0</v>
      </c>
      <c r="J132" s="572" t="str">
        <f t="shared" si="18"/>
        <v/>
      </c>
      <c r="K132" s="332">
        <f>SC13AQ!J132</f>
        <v>0</v>
      </c>
    </row>
    <row r="133" spans="1:11" ht="12.75" customHeight="1" x14ac:dyDescent="0.25">
      <c r="A133" s="606" t="s">
        <v>1122</v>
      </c>
      <c r="B133" s="90"/>
      <c r="C133" s="379">
        <f>SC13AQ!B133</f>
        <v>0</v>
      </c>
      <c r="D133" s="415">
        <f>SC13AQ!C133</f>
        <v>0</v>
      </c>
      <c r="E133" s="331">
        <f>SC13AQ!D133</f>
        <v>0</v>
      </c>
      <c r="F133" s="331">
        <f>SC13AQ!E133</f>
        <v>0</v>
      </c>
      <c r="G133" s="331">
        <f>SC13AQ!F133</f>
        <v>0</v>
      </c>
      <c r="H133" s="331">
        <f>SC13AQ!G133</f>
        <v>0</v>
      </c>
      <c r="I133" s="148">
        <f t="shared" si="17"/>
        <v>0</v>
      </c>
      <c r="J133" s="572" t="str">
        <f t="shared" si="18"/>
        <v/>
      </c>
      <c r="K133" s="332">
        <f>SC13AQ!J133</f>
        <v>0</v>
      </c>
    </row>
    <row r="134" spans="1:11" ht="12.75" customHeight="1" x14ac:dyDescent="0.25">
      <c r="A134" s="29" t="s">
        <v>1214</v>
      </c>
      <c r="B134" s="90"/>
      <c r="C134" s="220">
        <f t="shared" ref="C134:H134" si="27">SUM(C135:C135)</f>
        <v>0</v>
      </c>
      <c r="D134" s="607">
        <f t="shared" si="27"/>
        <v>0</v>
      </c>
      <c r="E134" s="221">
        <f t="shared" si="27"/>
        <v>0</v>
      </c>
      <c r="F134" s="221">
        <f t="shared" si="27"/>
        <v>0</v>
      </c>
      <c r="G134" s="221">
        <f t="shared" si="27"/>
        <v>0</v>
      </c>
      <c r="H134" s="221">
        <f t="shared" si="27"/>
        <v>0</v>
      </c>
      <c r="I134" s="148">
        <f t="shared" si="17"/>
        <v>0</v>
      </c>
      <c r="J134" s="572" t="str">
        <f t="shared" si="18"/>
        <v/>
      </c>
      <c r="K134" s="222">
        <f>SUM(K135)</f>
        <v>0</v>
      </c>
    </row>
    <row r="135" spans="1:11" ht="12.75" customHeight="1" x14ac:dyDescent="0.25">
      <c r="A135" s="30" t="s">
        <v>1214</v>
      </c>
      <c r="B135" s="90"/>
      <c r="C135" s="379">
        <f>SC13AQ!B136</f>
        <v>0</v>
      </c>
      <c r="D135" s="415">
        <f>SC13AQ!C136</f>
        <v>0</v>
      </c>
      <c r="E135" s="331">
        <f>SC13AQ!D136</f>
        <v>0</v>
      </c>
      <c r="F135" s="331">
        <f>SC13AQ!E136</f>
        <v>0</v>
      </c>
      <c r="G135" s="331">
        <f>SC13AQ!F136</f>
        <v>0</v>
      </c>
      <c r="H135" s="331">
        <f>SC13AQ!G136</f>
        <v>0</v>
      </c>
      <c r="I135" s="148">
        <f t="shared" si="17"/>
        <v>0</v>
      </c>
      <c r="J135" s="572" t="str">
        <f t="shared" si="18"/>
        <v/>
      </c>
      <c r="K135" s="332">
        <f>SC13AQ!J136</f>
        <v>0</v>
      </c>
    </row>
    <row r="136" spans="1:11" ht="5.0999999999999996" customHeight="1" x14ac:dyDescent="0.25">
      <c r="A136" s="32"/>
      <c r="B136" s="90"/>
      <c r="C136" s="74"/>
      <c r="D136" s="148"/>
      <c r="E136" s="34"/>
      <c r="F136" s="34"/>
      <c r="G136" s="34"/>
      <c r="H136" s="34"/>
      <c r="I136" s="148">
        <f t="shared" si="17"/>
        <v>0</v>
      </c>
      <c r="J136" s="572" t="str">
        <f t="shared" si="18"/>
        <v/>
      </c>
      <c r="K136" s="78"/>
    </row>
    <row r="137" spans="1:11" ht="12.75" customHeight="1" x14ac:dyDescent="0.25">
      <c r="A137" s="29" t="s">
        <v>1215</v>
      </c>
      <c r="B137" s="90"/>
      <c r="C137" s="220">
        <f t="shared" ref="C137:H137" si="28">SUM(C138:C139)</f>
        <v>162800</v>
      </c>
      <c r="D137" s="607">
        <f t="shared" si="28"/>
        <v>17140000</v>
      </c>
      <c r="E137" s="221">
        <f t="shared" si="28"/>
        <v>17140000</v>
      </c>
      <c r="F137" s="221">
        <f t="shared" si="28"/>
        <v>0</v>
      </c>
      <c r="G137" s="221">
        <f t="shared" si="28"/>
        <v>0</v>
      </c>
      <c r="H137" s="221">
        <f t="shared" si="28"/>
        <v>8500000</v>
      </c>
      <c r="I137" s="148">
        <f t="shared" si="17"/>
        <v>8500000</v>
      </c>
      <c r="J137" s="572">
        <f t="shared" si="18"/>
        <v>1</v>
      </c>
      <c r="K137" s="222">
        <f>SUM(K138:K139)</f>
        <v>17140000</v>
      </c>
    </row>
    <row r="138" spans="1:11" ht="12.75" customHeight="1" x14ac:dyDescent="0.25">
      <c r="A138" s="30" t="s">
        <v>1216</v>
      </c>
      <c r="B138" s="90"/>
      <c r="C138" s="772">
        <f>SC13AQ!B139</f>
        <v>0</v>
      </c>
      <c r="D138" s="415">
        <f>SC13AQ!C139</f>
        <v>0</v>
      </c>
      <c r="E138" s="331">
        <f>SC13AQ!D139</f>
        <v>0</v>
      </c>
      <c r="F138" s="331">
        <f>SC13AQ!E139</f>
        <v>0</v>
      </c>
      <c r="G138" s="331">
        <f>SC13AQ!F139</f>
        <v>0</v>
      </c>
      <c r="H138" s="331">
        <f>SC13AQ!G139</f>
        <v>0</v>
      </c>
      <c r="I138" s="148">
        <f t="shared" si="17"/>
        <v>0</v>
      </c>
      <c r="J138" s="572" t="str">
        <f t="shared" si="18"/>
        <v/>
      </c>
      <c r="K138" s="332">
        <f>SC13AQ!J139</f>
        <v>0</v>
      </c>
    </row>
    <row r="139" spans="1:11" ht="12.75" customHeight="1" x14ac:dyDescent="0.25">
      <c r="A139" s="30" t="s">
        <v>1217</v>
      </c>
      <c r="B139" s="90"/>
      <c r="C139" s="74">
        <f t="shared" ref="C139:H139" si="29">SUM(C140:C145)</f>
        <v>162800</v>
      </c>
      <c r="D139" s="148">
        <f t="shared" si="29"/>
        <v>17140000</v>
      </c>
      <c r="E139" s="34">
        <f t="shared" si="29"/>
        <v>17140000</v>
      </c>
      <c r="F139" s="34">
        <f t="shared" si="29"/>
        <v>0</v>
      </c>
      <c r="G139" s="34">
        <f t="shared" si="29"/>
        <v>0</v>
      </c>
      <c r="H139" s="34">
        <f t="shared" si="29"/>
        <v>8500000</v>
      </c>
      <c r="I139" s="148">
        <f t="shared" si="17"/>
        <v>8500000</v>
      </c>
      <c r="J139" s="572">
        <f t="shared" si="18"/>
        <v>1</v>
      </c>
      <c r="K139" s="78">
        <f>SUM(K140:K145)</f>
        <v>17140000</v>
      </c>
    </row>
    <row r="140" spans="1:11" ht="12.75" customHeight="1" x14ac:dyDescent="0.25">
      <c r="A140" s="606" t="s">
        <v>1218</v>
      </c>
      <c r="B140" s="90"/>
      <c r="C140" s="379">
        <f>SC13AQ!B141</f>
        <v>0</v>
      </c>
      <c r="D140" s="415">
        <f>SC13AQ!C141</f>
        <v>0</v>
      </c>
      <c r="E140" s="331">
        <f>SC13AQ!D141</f>
        <v>0</v>
      </c>
      <c r="F140" s="331">
        <f>SC13AQ!E141</f>
        <v>0</v>
      </c>
      <c r="G140" s="331">
        <f>SC13AQ!F141</f>
        <v>0</v>
      </c>
      <c r="H140" s="331">
        <f>SC13AQ!G141</f>
        <v>0</v>
      </c>
      <c r="I140" s="148">
        <f t="shared" si="17"/>
        <v>0</v>
      </c>
      <c r="J140" s="572" t="str">
        <f t="shared" si="18"/>
        <v/>
      </c>
      <c r="K140" s="332">
        <f>SC13AQ!J141</f>
        <v>0</v>
      </c>
    </row>
    <row r="141" spans="1:11" ht="12.75" customHeight="1" x14ac:dyDescent="0.25">
      <c r="A141" s="606" t="s">
        <v>1219</v>
      </c>
      <c r="B141" s="90"/>
      <c r="C141" s="379">
        <f>SC13AQ!B142</f>
        <v>0</v>
      </c>
      <c r="D141" s="415">
        <f>SC13AQ!C142</f>
        <v>0</v>
      </c>
      <c r="E141" s="331">
        <f>SC13AQ!D142</f>
        <v>0</v>
      </c>
      <c r="F141" s="331">
        <f>SC13AQ!E142</f>
        <v>0</v>
      </c>
      <c r="G141" s="331">
        <f>SC13AQ!F142</f>
        <v>0</v>
      </c>
      <c r="H141" s="331">
        <f>SC13AQ!G142</f>
        <v>0</v>
      </c>
      <c r="I141" s="148">
        <f t="shared" ref="I141:I146" si="30">H141-G141</f>
        <v>0</v>
      </c>
      <c r="J141" s="572" t="str">
        <f t="shared" si="18"/>
        <v/>
      </c>
      <c r="K141" s="332">
        <f>SC13AQ!J142</f>
        <v>0</v>
      </c>
    </row>
    <row r="142" spans="1:11" ht="12.75" customHeight="1" x14ac:dyDescent="0.25">
      <c r="A142" s="606" t="s">
        <v>1220</v>
      </c>
      <c r="B142" s="90"/>
      <c r="C142" s="379">
        <f>SC13AQ!B143</f>
        <v>0</v>
      </c>
      <c r="D142" s="415">
        <f>SC13AQ!C143</f>
        <v>0</v>
      </c>
      <c r="E142" s="331">
        <f>SC13AQ!D143</f>
        <v>0</v>
      </c>
      <c r="F142" s="331">
        <f>SC13AQ!E143</f>
        <v>0</v>
      </c>
      <c r="G142" s="331">
        <f>SC13AQ!F143</f>
        <v>0</v>
      </c>
      <c r="H142" s="331">
        <f>SC13AQ!G143</f>
        <v>0</v>
      </c>
      <c r="I142" s="148">
        <f t="shared" si="30"/>
        <v>0</v>
      </c>
      <c r="J142" s="572" t="str">
        <f t="shared" si="18"/>
        <v/>
      </c>
      <c r="K142" s="332">
        <f>SC13AQ!J143</f>
        <v>0</v>
      </c>
    </row>
    <row r="143" spans="1:11" ht="12.75" customHeight="1" x14ac:dyDescent="0.25">
      <c r="A143" s="606" t="s">
        <v>1221</v>
      </c>
      <c r="B143" s="90"/>
      <c r="C143" s="379">
        <f>SC13AQ!B144</f>
        <v>162800</v>
      </c>
      <c r="D143" s="415">
        <f>SC13AQ!C144</f>
        <v>17140000</v>
      </c>
      <c r="E143" s="331">
        <f>SC13AQ!D144</f>
        <v>17140000</v>
      </c>
      <c r="F143" s="331">
        <f>SC13AQ!E144</f>
        <v>0</v>
      </c>
      <c r="G143" s="331">
        <f>SC13AQ!F144</f>
        <v>0</v>
      </c>
      <c r="H143" s="331">
        <f>SC13AQ!G144</f>
        <v>8500000</v>
      </c>
      <c r="I143" s="148">
        <f t="shared" si="30"/>
        <v>8500000</v>
      </c>
      <c r="J143" s="572">
        <f t="shared" si="18"/>
        <v>1</v>
      </c>
      <c r="K143" s="332">
        <f>SC13AQ!J144</f>
        <v>17140000</v>
      </c>
    </row>
    <row r="144" spans="1:11" ht="12.75" customHeight="1" x14ac:dyDescent="0.25">
      <c r="A144" s="606" t="s">
        <v>1222</v>
      </c>
      <c r="B144" s="90"/>
      <c r="C144" s="379">
        <f>SC13AQ!B145</f>
        <v>0</v>
      </c>
      <c r="D144" s="415">
        <f>SC13AQ!C145</f>
        <v>0</v>
      </c>
      <c r="E144" s="331">
        <f>SC13AQ!D145</f>
        <v>0</v>
      </c>
      <c r="F144" s="331">
        <f>SC13AQ!E145</f>
        <v>0</v>
      </c>
      <c r="G144" s="331">
        <f>SC13AQ!F145</f>
        <v>0</v>
      </c>
      <c r="H144" s="331">
        <f>SC13AQ!G145</f>
        <v>0</v>
      </c>
      <c r="I144" s="148">
        <f t="shared" si="30"/>
        <v>0</v>
      </c>
      <c r="J144" s="572" t="str">
        <f t="shared" si="18"/>
        <v/>
      </c>
      <c r="K144" s="332">
        <f>SC13AQ!J145</f>
        <v>0</v>
      </c>
    </row>
    <row r="145" spans="1:11" ht="12.75" customHeight="1" x14ac:dyDescent="0.25">
      <c r="A145" s="606" t="s">
        <v>1223</v>
      </c>
      <c r="B145" s="90"/>
      <c r="C145" s="379">
        <f>SC13AQ!B146</f>
        <v>0</v>
      </c>
      <c r="D145" s="415">
        <f>SC13AQ!C146</f>
        <v>0</v>
      </c>
      <c r="E145" s="331">
        <f>SC13AQ!D146</f>
        <v>0</v>
      </c>
      <c r="F145" s="331">
        <f>SC13AQ!E146</f>
        <v>0</v>
      </c>
      <c r="G145" s="331">
        <f>SC13AQ!F146</f>
        <v>0</v>
      </c>
      <c r="H145" s="331">
        <f>SC13AQ!G146</f>
        <v>0</v>
      </c>
      <c r="I145" s="148">
        <f t="shared" si="30"/>
        <v>0</v>
      </c>
      <c r="J145" s="572" t="str">
        <f t="shared" si="18"/>
        <v/>
      </c>
      <c r="K145" s="332">
        <f>SC13AQ!J146</f>
        <v>0</v>
      </c>
    </row>
    <row r="146" spans="1:11" ht="5.25" customHeight="1" x14ac:dyDescent="0.25">
      <c r="A146" s="32"/>
      <c r="B146" s="90"/>
      <c r="C146" s="74"/>
      <c r="D146" s="148"/>
      <c r="E146" s="34"/>
      <c r="F146" s="34"/>
      <c r="G146" s="34"/>
      <c r="H146" s="34"/>
      <c r="I146" s="148">
        <f t="shared" si="30"/>
        <v>0</v>
      </c>
      <c r="J146" s="572" t="str">
        <f t="shared" si="18"/>
        <v/>
      </c>
      <c r="K146" s="78"/>
    </row>
    <row r="147" spans="1:11" ht="12.75" customHeight="1" x14ac:dyDescent="0.25">
      <c r="A147" s="29" t="s">
        <v>1224</v>
      </c>
      <c r="B147" s="90"/>
      <c r="C147" s="220">
        <f t="shared" ref="C147:H147" si="31">SUM(C148:C148)</f>
        <v>2004972.62</v>
      </c>
      <c r="D147" s="607">
        <f t="shared" si="31"/>
        <v>4765200</v>
      </c>
      <c r="E147" s="221">
        <f t="shared" si="31"/>
        <v>4954300</v>
      </c>
      <c r="F147" s="221">
        <f t="shared" si="31"/>
        <v>56129.06</v>
      </c>
      <c r="G147" s="221">
        <f t="shared" si="31"/>
        <v>372583.35</v>
      </c>
      <c r="H147" s="221">
        <f t="shared" si="31"/>
        <v>3198600</v>
      </c>
      <c r="I147" s="148">
        <f t="shared" ref="I147:I163" si="32">H147-G147</f>
        <v>2826016.65</v>
      </c>
      <c r="J147" s="572">
        <f t="shared" si="18"/>
        <v>0.88351674169949346</v>
      </c>
      <c r="K147" s="222">
        <f>SUM(K148)</f>
        <v>4954300</v>
      </c>
    </row>
    <row r="148" spans="1:11" ht="12.75" customHeight="1" x14ac:dyDescent="0.25">
      <c r="A148" s="30" t="s">
        <v>1224</v>
      </c>
      <c r="B148" s="90"/>
      <c r="C148" s="379">
        <f>SC13AQ!B149</f>
        <v>2004972.62</v>
      </c>
      <c r="D148" s="415">
        <f>SC13AQ!C149</f>
        <v>4765200</v>
      </c>
      <c r="E148" s="331">
        <f>SC13AQ!D149</f>
        <v>4954300</v>
      </c>
      <c r="F148" s="331">
        <f>SC13AQ!E149</f>
        <v>56129.06</v>
      </c>
      <c r="G148" s="331">
        <f>SC13AQ!F149</f>
        <v>372583.35</v>
      </c>
      <c r="H148" s="331">
        <f>SC13AQ!G149</f>
        <v>3198600</v>
      </c>
      <c r="I148" s="148">
        <f t="shared" si="32"/>
        <v>2826016.65</v>
      </c>
      <c r="J148" s="572">
        <f t="shared" si="18"/>
        <v>0.88351674169949346</v>
      </c>
      <c r="K148" s="332">
        <f>SC13AQ!J149</f>
        <v>4954300</v>
      </c>
    </row>
    <row r="149" spans="1:11" ht="5.0999999999999996" customHeight="1" x14ac:dyDescent="0.25">
      <c r="A149" s="32"/>
      <c r="B149" s="90"/>
      <c r="C149" s="74"/>
      <c r="D149" s="148"/>
      <c r="E149" s="34"/>
      <c r="F149" s="34"/>
      <c r="G149" s="34"/>
      <c r="H149" s="34"/>
      <c r="I149" s="148">
        <f t="shared" si="32"/>
        <v>0</v>
      </c>
      <c r="J149" s="572" t="str">
        <f t="shared" si="18"/>
        <v/>
      </c>
      <c r="K149" s="78"/>
    </row>
    <row r="150" spans="1:11" ht="12.75" customHeight="1" x14ac:dyDescent="0.25">
      <c r="A150" s="29" t="s">
        <v>1225</v>
      </c>
      <c r="B150" s="90"/>
      <c r="C150" s="220">
        <f t="shared" ref="C150:H150" si="33">SUM(C151:C151)</f>
        <v>743315.16</v>
      </c>
      <c r="D150" s="607">
        <f t="shared" si="33"/>
        <v>918500</v>
      </c>
      <c r="E150" s="221">
        <f t="shared" si="33"/>
        <v>770700</v>
      </c>
      <c r="F150" s="221">
        <f t="shared" si="33"/>
        <v>0</v>
      </c>
      <c r="G150" s="221">
        <f t="shared" si="33"/>
        <v>91724.91</v>
      </c>
      <c r="H150" s="221">
        <f t="shared" si="33"/>
        <v>417245.91</v>
      </c>
      <c r="I150" s="148">
        <f t="shared" si="32"/>
        <v>325521</v>
      </c>
      <c r="J150" s="572">
        <f t="shared" si="18"/>
        <v>0.78016582595141559</v>
      </c>
      <c r="K150" s="222">
        <f>SUM(K151)</f>
        <v>770700</v>
      </c>
    </row>
    <row r="151" spans="1:11" ht="12.75" customHeight="1" x14ac:dyDescent="0.25">
      <c r="A151" s="30" t="s">
        <v>1225</v>
      </c>
      <c r="B151" s="90"/>
      <c r="C151" s="379">
        <f>SC13AQ!B152</f>
        <v>743315.16</v>
      </c>
      <c r="D151" s="415">
        <f>SC13AQ!C152</f>
        <v>918500</v>
      </c>
      <c r="E151" s="331">
        <f>SC13AQ!D152</f>
        <v>770700</v>
      </c>
      <c r="F151" s="331">
        <f>SC13AQ!E152</f>
        <v>0</v>
      </c>
      <c r="G151" s="331">
        <f>SC13AQ!F152</f>
        <v>91724.91</v>
      </c>
      <c r="H151" s="331">
        <f>SC13AQ!G152</f>
        <v>417245.91</v>
      </c>
      <c r="I151" s="148">
        <f t="shared" si="32"/>
        <v>325521</v>
      </c>
      <c r="J151" s="572">
        <f t="shared" si="18"/>
        <v>0.78016582595141559</v>
      </c>
      <c r="K151" s="332">
        <f>SC13AQ!J152</f>
        <v>770700</v>
      </c>
    </row>
    <row r="152" spans="1:11" ht="5.0999999999999996" customHeight="1" x14ac:dyDescent="0.25">
      <c r="A152" s="32"/>
      <c r="B152" s="90"/>
      <c r="C152" s="74"/>
      <c r="D152" s="148"/>
      <c r="E152" s="34"/>
      <c r="F152" s="34"/>
      <c r="G152" s="34"/>
      <c r="H152" s="34"/>
      <c r="I152" s="148">
        <f t="shared" si="32"/>
        <v>0</v>
      </c>
      <c r="J152" s="572" t="str">
        <f t="shared" si="18"/>
        <v/>
      </c>
      <c r="K152" s="78"/>
    </row>
    <row r="153" spans="1:11" ht="12.75" customHeight="1" x14ac:dyDescent="0.25">
      <c r="A153" s="29" t="s">
        <v>1226</v>
      </c>
      <c r="B153" s="90"/>
      <c r="C153" s="220">
        <f t="shared" ref="C153:H153" si="34">SUM(C154:C154)</f>
        <v>9547046.7599999998</v>
      </c>
      <c r="D153" s="607">
        <f t="shared" si="34"/>
        <v>24299500</v>
      </c>
      <c r="E153" s="221">
        <f t="shared" si="34"/>
        <v>19713500</v>
      </c>
      <c r="F153" s="221">
        <f t="shared" si="34"/>
        <v>0</v>
      </c>
      <c r="G153" s="221">
        <f t="shared" si="34"/>
        <v>10802380.560000001</v>
      </c>
      <c r="H153" s="221">
        <f t="shared" si="34"/>
        <v>11635773.5</v>
      </c>
      <c r="I153" s="148">
        <f t="shared" si="32"/>
        <v>833392.93999999948</v>
      </c>
      <c r="J153" s="572">
        <f t="shared" si="18"/>
        <v>7.1623338147652968E-2</v>
      </c>
      <c r="K153" s="222">
        <f>SUM(K154)</f>
        <v>19713500</v>
      </c>
    </row>
    <row r="154" spans="1:11" ht="12.75" customHeight="1" x14ac:dyDescent="0.25">
      <c r="A154" s="30" t="s">
        <v>1226</v>
      </c>
      <c r="B154" s="90"/>
      <c r="C154" s="379">
        <f>SC13AQ!B155</f>
        <v>9547046.7599999998</v>
      </c>
      <c r="D154" s="415">
        <f>SC13AQ!C155</f>
        <v>24299500</v>
      </c>
      <c r="E154" s="331">
        <f>SC13AQ!D155</f>
        <v>19713500</v>
      </c>
      <c r="F154" s="331">
        <f>SC13AQ!E155</f>
        <v>0</v>
      </c>
      <c r="G154" s="331">
        <f>SC13AQ!F155</f>
        <v>10802380.560000001</v>
      </c>
      <c r="H154" s="331">
        <f>SC13AQ!G155</f>
        <v>11635773.5</v>
      </c>
      <c r="I154" s="148">
        <f t="shared" si="32"/>
        <v>833392.93999999948</v>
      </c>
      <c r="J154" s="572">
        <f t="shared" si="18"/>
        <v>7.1623338147652968E-2</v>
      </c>
      <c r="K154" s="332">
        <f>SC13AQ!J155</f>
        <v>19713500</v>
      </c>
    </row>
    <row r="155" spans="1:11" ht="5.0999999999999996" customHeight="1" x14ac:dyDescent="0.25">
      <c r="A155" s="32"/>
      <c r="B155" s="90"/>
      <c r="C155" s="74"/>
      <c r="D155" s="148"/>
      <c r="E155" s="34"/>
      <c r="F155" s="34"/>
      <c r="G155" s="34"/>
      <c r="H155" s="34"/>
      <c r="I155" s="148">
        <f t="shared" si="32"/>
        <v>0</v>
      </c>
      <c r="J155" s="572" t="str">
        <f t="shared" si="18"/>
        <v/>
      </c>
      <c r="K155" s="78"/>
    </row>
    <row r="156" spans="1:11" ht="12.75" customHeight="1" x14ac:dyDescent="0.25">
      <c r="A156" s="29" t="s">
        <v>1227</v>
      </c>
      <c r="B156" s="90"/>
      <c r="C156" s="220">
        <f t="shared" ref="C156:H156" si="35">SUM(C157:C157)</f>
        <v>3902370.48</v>
      </c>
      <c r="D156" s="607">
        <f t="shared" si="35"/>
        <v>12900000</v>
      </c>
      <c r="E156" s="221">
        <f t="shared" si="35"/>
        <v>14526600</v>
      </c>
      <c r="F156" s="221">
        <f t="shared" si="35"/>
        <v>99087.41</v>
      </c>
      <c r="G156" s="221">
        <f t="shared" si="35"/>
        <v>1463448.54</v>
      </c>
      <c r="H156" s="221">
        <f t="shared" si="35"/>
        <v>4584778.42</v>
      </c>
      <c r="I156" s="148">
        <f t="shared" si="32"/>
        <v>3121329.88</v>
      </c>
      <c r="J156" s="572">
        <f t="shared" si="18"/>
        <v>0.68080277694205338</v>
      </c>
      <c r="K156" s="222">
        <f>SUM(K157)</f>
        <v>14526600</v>
      </c>
    </row>
    <row r="157" spans="1:11" ht="12.75" customHeight="1" x14ac:dyDescent="0.25">
      <c r="A157" s="30" t="s">
        <v>1227</v>
      </c>
      <c r="B157" s="90"/>
      <c r="C157" s="379">
        <f>SC13AQ!B158</f>
        <v>3902370.48</v>
      </c>
      <c r="D157" s="415">
        <f>SC13AQ!C158</f>
        <v>12900000</v>
      </c>
      <c r="E157" s="331">
        <f>SC13AQ!D158</f>
        <v>14526600</v>
      </c>
      <c r="F157" s="331">
        <f>SC13AQ!E158</f>
        <v>99087.41</v>
      </c>
      <c r="G157" s="331">
        <f>SC13AQ!F158</f>
        <v>1463448.54</v>
      </c>
      <c r="H157" s="331">
        <f>SC13AQ!G158</f>
        <v>4584778.42</v>
      </c>
      <c r="I157" s="148">
        <f t="shared" si="32"/>
        <v>3121329.88</v>
      </c>
      <c r="J157" s="572">
        <f t="shared" si="18"/>
        <v>0.68080277694205338</v>
      </c>
      <c r="K157" s="332">
        <f>SC13AQ!J158</f>
        <v>14526600</v>
      </c>
    </row>
    <row r="158" spans="1:11" ht="5.0999999999999996" customHeight="1" x14ac:dyDescent="0.25">
      <c r="A158" s="32"/>
      <c r="B158" s="90"/>
      <c r="C158" s="74"/>
      <c r="D158" s="148"/>
      <c r="E158" s="34"/>
      <c r="F158" s="34"/>
      <c r="G158" s="34"/>
      <c r="H158" s="34"/>
      <c r="I158" s="148">
        <f t="shared" si="32"/>
        <v>0</v>
      </c>
      <c r="J158" s="572" t="str">
        <f t="shared" si="18"/>
        <v/>
      </c>
      <c r="K158" s="78"/>
    </row>
    <row r="159" spans="1:11" ht="12.75" customHeight="1" x14ac:dyDescent="0.25">
      <c r="A159" s="29" t="s">
        <v>1235</v>
      </c>
      <c r="B159" s="90"/>
      <c r="C159" s="220">
        <f t="shared" ref="C159:H159" si="36">SUM(C160:C160)</f>
        <v>0</v>
      </c>
      <c r="D159" s="607">
        <f t="shared" si="36"/>
        <v>0</v>
      </c>
      <c r="E159" s="221">
        <f t="shared" si="36"/>
        <v>0</v>
      </c>
      <c r="F159" s="221">
        <f t="shared" si="36"/>
        <v>0</v>
      </c>
      <c r="G159" s="221">
        <f t="shared" si="36"/>
        <v>0</v>
      </c>
      <c r="H159" s="221">
        <f t="shared" si="36"/>
        <v>0</v>
      </c>
      <c r="I159" s="148">
        <f t="shared" si="32"/>
        <v>0</v>
      </c>
      <c r="J159" s="572" t="str">
        <f t="shared" ref="J159:J171" si="37">IF(H159=0,"",I159/H159)</f>
        <v/>
      </c>
      <c r="K159" s="222">
        <f>SUM(K160)</f>
        <v>0</v>
      </c>
    </row>
    <row r="160" spans="1:11" ht="12.75" customHeight="1" x14ac:dyDescent="0.25">
      <c r="A160" s="30" t="s">
        <v>1235</v>
      </c>
      <c r="B160" s="90"/>
      <c r="C160" s="379">
        <f>SC13AQ!B161</f>
        <v>0</v>
      </c>
      <c r="D160" s="415">
        <f>SC13AQ!C161</f>
        <v>0</v>
      </c>
      <c r="E160" s="331">
        <f>SC13AQ!D161</f>
        <v>0</v>
      </c>
      <c r="F160" s="331">
        <f>SC13AQ!E161</f>
        <v>0</v>
      </c>
      <c r="G160" s="331">
        <f>SC13AQ!F161</f>
        <v>0</v>
      </c>
      <c r="H160" s="331">
        <f>SC13AQ!G161</f>
        <v>0</v>
      </c>
      <c r="I160" s="148">
        <f t="shared" si="32"/>
        <v>0</v>
      </c>
      <c r="J160" s="572" t="str">
        <f t="shared" si="37"/>
        <v/>
      </c>
      <c r="K160" s="332">
        <f>SC13AQ!J161</f>
        <v>0</v>
      </c>
    </row>
    <row r="161" spans="1:11" ht="5.0999999999999996" customHeight="1" x14ac:dyDescent="0.25">
      <c r="A161" s="32"/>
      <c r="B161" s="90"/>
      <c r="C161" s="74"/>
      <c r="D161" s="148"/>
      <c r="E161" s="34"/>
      <c r="F161" s="34"/>
      <c r="G161" s="34"/>
      <c r="H161" s="34"/>
      <c r="I161" s="148">
        <f t="shared" si="32"/>
        <v>0</v>
      </c>
      <c r="J161" s="572" t="str">
        <f t="shared" si="37"/>
        <v/>
      </c>
      <c r="K161" s="78"/>
    </row>
    <row r="162" spans="1:11" ht="12.75" customHeight="1" x14ac:dyDescent="0.25">
      <c r="A162" s="29" t="s">
        <v>1228</v>
      </c>
      <c r="B162" s="90"/>
      <c r="C162" s="220">
        <f t="shared" ref="C162:H162" si="38">SUM(C163:C163)</f>
        <v>0</v>
      </c>
      <c r="D162" s="607">
        <f t="shared" si="38"/>
        <v>0</v>
      </c>
      <c r="E162" s="221">
        <f t="shared" si="38"/>
        <v>0</v>
      </c>
      <c r="F162" s="221">
        <f t="shared" si="38"/>
        <v>0</v>
      </c>
      <c r="G162" s="221">
        <f t="shared" si="38"/>
        <v>0</v>
      </c>
      <c r="H162" s="221">
        <f t="shared" si="38"/>
        <v>0</v>
      </c>
      <c r="I162" s="148">
        <f t="shared" si="32"/>
        <v>0</v>
      </c>
      <c r="J162" s="572" t="str">
        <f t="shared" si="37"/>
        <v/>
      </c>
      <c r="K162" s="222">
        <f>SUM(K163)</f>
        <v>0</v>
      </c>
    </row>
    <row r="163" spans="1:11" ht="12.75" customHeight="1" x14ac:dyDescent="0.25">
      <c r="A163" s="30" t="s">
        <v>1228</v>
      </c>
      <c r="B163" s="90"/>
      <c r="C163" s="379">
        <f>SC13AQ!B164</f>
        <v>0</v>
      </c>
      <c r="D163" s="415"/>
      <c r="E163" s="331"/>
      <c r="F163" s="331"/>
      <c r="G163" s="331"/>
      <c r="H163" s="331"/>
      <c r="I163" s="148">
        <f t="shared" si="32"/>
        <v>0</v>
      </c>
      <c r="J163" s="572" t="str">
        <f t="shared" si="37"/>
        <v/>
      </c>
      <c r="K163" s="332"/>
    </row>
    <row r="164" spans="1:11" ht="5.0999999999999996" customHeight="1" x14ac:dyDescent="0.25">
      <c r="A164" s="30"/>
      <c r="B164" s="90"/>
      <c r="C164" s="74"/>
      <c r="D164" s="148"/>
      <c r="E164" s="34"/>
      <c r="F164" s="34"/>
      <c r="G164" s="34"/>
      <c r="H164" s="34"/>
      <c r="I164" s="148"/>
      <c r="J164" s="572" t="str">
        <f t="shared" si="37"/>
        <v/>
      </c>
      <c r="K164" s="78"/>
    </row>
    <row r="165" spans="1:11" ht="10.5" customHeight="1" x14ac:dyDescent="0.25">
      <c r="A165" s="616" t="s">
        <v>1342</v>
      </c>
      <c r="B165" s="90"/>
      <c r="C165" s="69">
        <f t="shared" ref="C165:H165" si="39">+C166+C169</f>
        <v>0</v>
      </c>
      <c r="D165" s="149">
        <f t="shared" si="39"/>
        <v>0</v>
      </c>
      <c r="E165" s="38">
        <f t="shared" si="39"/>
        <v>0</v>
      </c>
      <c r="F165" s="38">
        <f t="shared" si="39"/>
        <v>0</v>
      </c>
      <c r="G165" s="38">
        <f t="shared" si="39"/>
        <v>0</v>
      </c>
      <c r="H165" s="38">
        <f t="shared" si="39"/>
        <v>0</v>
      </c>
      <c r="I165" s="149">
        <f t="shared" ref="I165:I171" si="40">H165-G165</f>
        <v>0</v>
      </c>
      <c r="J165" s="572" t="str">
        <f t="shared" si="37"/>
        <v/>
      </c>
      <c r="K165" s="96">
        <v>0</v>
      </c>
    </row>
    <row r="166" spans="1:11" ht="10.5" customHeight="1" x14ac:dyDescent="0.25">
      <c r="A166" s="612" t="s">
        <v>1343</v>
      </c>
      <c r="B166" s="90"/>
      <c r="C166" s="74">
        <f t="shared" ref="C166:H166" si="41">+C167+C168</f>
        <v>0</v>
      </c>
      <c r="D166" s="148">
        <f t="shared" si="41"/>
        <v>0</v>
      </c>
      <c r="E166" s="34">
        <f t="shared" si="41"/>
        <v>0</v>
      </c>
      <c r="F166" s="34">
        <f t="shared" si="41"/>
        <v>0</v>
      </c>
      <c r="G166" s="34">
        <f t="shared" si="41"/>
        <v>0</v>
      </c>
      <c r="H166" s="34">
        <f t="shared" si="41"/>
        <v>0</v>
      </c>
      <c r="I166" s="148">
        <f t="shared" si="40"/>
        <v>0</v>
      </c>
      <c r="J166" s="572" t="str">
        <f t="shared" si="37"/>
        <v/>
      </c>
      <c r="K166" s="78">
        <v>0</v>
      </c>
    </row>
    <row r="167" spans="1:11" ht="10.5" customHeight="1" x14ac:dyDescent="0.25">
      <c r="A167" s="617" t="s">
        <v>1344</v>
      </c>
      <c r="B167" s="90"/>
      <c r="C167" s="379"/>
      <c r="D167" s="415"/>
      <c r="E167" s="331"/>
      <c r="F167" s="331"/>
      <c r="G167" s="331"/>
      <c r="H167" s="331"/>
      <c r="I167" s="148">
        <f t="shared" si="40"/>
        <v>0</v>
      </c>
      <c r="J167" s="572" t="str">
        <f t="shared" si="37"/>
        <v/>
      </c>
      <c r="K167" s="332"/>
    </row>
    <row r="168" spans="1:11" ht="10.5" customHeight="1" x14ac:dyDescent="0.25">
      <c r="A168" s="617" t="s">
        <v>1345</v>
      </c>
      <c r="B168" s="90"/>
      <c r="C168" s="379"/>
      <c r="D168" s="415"/>
      <c r="E168" s="331"/>
      <c r="F168" s="331"/>
      <c r="G168" s="331"/>
      <c r="H168" s="331"/>
      <c r="I168" s="148">
        <f t="shared" si="40"/>
        <v>0</v>
      </c>
      <c r="J168" s="572" t="str">
        <f t="shared" si="37"/>
        <v/>
      </c>
      <c r="K168" s="332"/>
    </row>
    <row r="169" spans="1:11" ht="10.5" customHeight="1" x14ac:dyDescent="0.25">
      <c r="A169" s="612" t="s">
        <v>1346</v>
      </c>
      <c r="B169" s="90"/>
      <c r="C169" s="74">
        <f>+C170+C171</f>
        <v>0</v>
      </c>
      <c r="D169" s="148">
        <f t="shared" ref="D169:H169" si="42">+D170+D171</f>
        <v>0</v>
      </c>
      <c r="E169" s="34">
        <f t="shared" si="42"/>
        <v>0</v>
      </c>
      <c r="F169" s="34">
        <f t="shared" si="42"/>
        <v>0</v>
      </c>
      <c r="G169" s="34">
        <f t="shared" si="42"/>
        <v>0</v>
      </c>
      <c r="H169" s="34">
        <f t="shared" si="42"/>
        <v>0</v>
      </c>
      <c r="I169" s="148">
        <f t="shared" si="40"/>
        <v>0</v>
      </c>
      <c r="J169" s="572" t="str">
        <f t="shared" si="37"/>
        <v/>
      </c>
      <c r="K169" s="78">
        <f>+K170+K171</f>
        <v>0</v>
      </c>
    </row>
    <row r="170" spans="1:11" ht="10.5" customHeight="1" x14ac:dyDescent="0.25">
      <c r="A170" s="617" t="s">
        <v>1344</v>
      </c>
      <c r="B170" s="90"/>
      <c r="C170" s="379"/>
      <c r="D170" s="415"/>
      <c r="E170" s="331"/>
      <c r="F170" s="331"/>
      <c r="G170" s="331"/>
      <c r="H170" s="331"/>
      <c r="I170" s="148">
        <f t="shared" si="40"/>
        <v>0</v>
      </c>
      <c r="J170" s="572" t="str">
        <f t="shared" si="37"/>
        <v/>
      </c>
      <c r="K170" s="332"/>
    </row>
    <row r="171" spans="1:11" ht="10.5" customHeight="1" x14ac:dyDescent="0.25">
      <c r="A171" s="617" t="s">
        <v>1345</v>
      </c>
      <c r="B171" s="90"/>
      <c r="C171" s="379"/>
      <c r="D171" s="415"/>
      <c r="E171" s="331"/>
      <c r="F171" s="331"/>
      <c r="G171" s="415"/>
      <c r="H171" s="331"/>
      <c r="I171" s="148">
        <f t="shared" si="40"/>
        <v>0</v>
      </c>
      <c r="J171" s="605" t="str">
        <f t="shared" si="37"/>
        <v/>
      </c>
      <c r="K171" s="332"/>
    </row>
    <row r="172" spans="1:11" ht="12.75" customHeight="1" x14ac:dyDescent="0.25">
      <c r="A172" s="40" t="s">
        <v>812</v>
      </c>
      <c r="B172" s="130">
        <v>1</v>
      </c>
      <c r="C172" s="71">
        <f t="shared" ref="C172:H172" si="43">C7+C75+C103+C110+C117+C134+C137+C147+C150+C153+C156+C159+C162+C165</f>
        <v>413407987.21000004</v>
      </c>
      <c r="D172" s="155">
        <f t="shared" si="43"/>
        <v>335491900</v>
      </c>
      <c r="E172" s="41">
        <f t="shared" si="43"/>
        <v>310196000</v>
      </c>
      <c r="F172" s="41">
        <f t="shared" si="43"/>
        <v>8186000.75</v>
      </c>
      <c r="G172" s="155">
        <f t="shared" si="43"/>
        <v>150140254.77999997</v>
      </c>
      <c r="H172" s="41">
        <f t="shared" si="43"/>
        <v>205572085.16</v>
      </c>
      <c r="I172" s="155">
        <f>H172-G172</f>
        <v>55431830.380000025</v>
      </c>
      <c r="J172" s="554">
        <f>IF(I172=0,"",I172/H172)</f>
        <v>0.26964668056393237</v>
      </c>
      <c r="K172" s="129">
        <f>K7+K75+K103+K110+K117+K134+K137+K147+K150+K153+K156+K159+K162+K165</f>
        <v>310196000</v>
      </c>
    </row>
    <row r="173" spans="1:11" ht="12.75" customHeight="1" x14ac:dyDescent="0.25">
      <c r="A173" s="43"/>
      <c r="C173" s="37"/>
      <c r="D173" s="37"/>
      <c r="E173" s="37"/>
      <c r="F173" s="37"/>
      <c r="G173" s="37"/>
      <c r="H173" s="37"/>
      <c r="I173" s="37"/>
      <c r="J173" s="609"/>
      <c r="K173" s="37"/>
    </row>
    <row r="174" spans="1:11" ht="12.75" customHeight="1" x14ac:dyDescent="0.25">
      <c r="A174" s="64" t="str">
        <f>head27a</f>
        <v>References</v>
      </c>
      <c r="C174" s="316"/>
      <c r="D174" s="316"/>
      <c r="E174" s="316"/>
      <c r="F174" s="316"/>
      <c r="G174" s="316"/>
      <c r="H174" s="316"/>
      <c r="I174" s="316"/>
      <c r="J174" s="316"/>
      <c r="K174" s="316"/>
    </row>
    <row r="175" spans="1:11" ht="12.75" customHeight="1" x14ac:dyDescent="0.25">
      <c r="A175" s="73" t="s">
        <v>1231</v>
      </c>
      <c r="C175" s="316"/>
      <c r="D175" s="316"/>
      <c r="E175" s="316"/>
      <c r="F175" s="316"/>
      <c r="G175" s="316"/>
      <c r="H175" s="316"/>
      <c r="I175" s="316"/>
      <c r="J175" s="316"/>
      <c r="K175" s="316"/>
    </row>
    <row r="176" spans="1:11" ht="11.25" customHeight="1" x14ac:dyDescent="0.25">
      <c r="C176" s="316"/>
      <c r="D176" s="316"/>
      <c r="E176" s="316"/>
      <c r="F176" s="316"/>
      <c r="G176" s="316"/>
      <c r="H176" s="316"/>
      <c r="I176" s="316"/>
      <c r="J176" s="316"/>
      <c r="K176" s="316"/>
    </row>
    <row r="177" spans="1:11" ht="11.25" customHeight="1" x14ac:dyDescent="0.25">
      <c r="A177" s="56" t="s">
        <v>668</v>
      </c>
      <c r="B177" s="44"/>
      <c r="C177" s="610">
        <f>C172+SC13b!C173+SC13e!C173-'C5-Capex'!C40</f>
        <v>0</v>
      </c>
      <c r="D177" s="610">
        <f>D172+SC13b!D173+SC13e!D173-'C5-Capex'!D40</f>
        <v>0</v>
      </c>
      <c r="E177" s="610">
        <f>E172+SC13b!E173+SC13e!E173-'C5-Capex'!E40</f>
        <v>0</v>
      </c>
      <c r="F177" s="610">
        <f>F172+SC13b!F173+SC13e!F173-'C5-Capex'!F40</f>
        <v>0</v>
      </c>
      <c r="G177" s="610">
        <f>G172+SC13b!G173+SC13e!G173-'C5-Capex'!G40</f>
        <v>0</v>
      </c>
      <c r="H177" s="610">
        <f>H172+SC13b!H173+SC13e!H173-'C5-Capex'!H40</f>
        <v>0</v>
      </c>
      <c r="I177" s="610"/>
      <c r="J177" s="610"/>
      <c r="K177" s="610">
        <f>K172+SC13b!K173+SC13e!K173-'C5-Capex'!K40</f>
        <v>0</v>
      </c>
    </row>
    <row r="178" spans="1:11" ht="11.25" customHeight="1" x14ac:dyDescent="0.25"/>
    <row r="179" spans="1:11" ht="11.25" customHeight="1" x14ac:dyDescent="0.25"/>
    <row r="180" spans="1:11" ht="11.25" customHeight="1" x14ac:dyDescent="0.25"/>
    <row r="181" spans="1:11" ht="11.25" customHeight="1" x14ac:dyDescent="0.25"/>
    <row r="182" spans="1:11" ht="11.25" customHeight="1" x14ac:dyDescent="0.25"/>
    <row r="183" spans="1:11" ht="11.25" customHeight="1" x14ac:dyDescent="0.25"/>
    <row r="184" spans="1:11" ht="11.25" customHeight="1" x14ac:dyDescent="0.25"/>
    <row r="185" spans="1:11" ht="11.25" customHeight="1" x14ac:dyDescent="0.25"/>
    <row r="186" spans="1:11" ht="11.25" customHeight="1" x14ac:dyDescent="0.25"/>
    <row r="187" spans="1:11" ht="11.25" customHeight="1" x14ac:dyDescent="0.25"/>
    <row r="188" spans="1:11" ht="11.25" customHeight="1" x14ac:dyDescent="0.25"/>
    <row r="189" spans="1:11" ht="11.25" customHeight="1" x14ac:dyDescent="0.25"/>
    <row r="190" spans="1:11" ht="11.25" customHeight="1" x14ac:dyDescent="0.25"/>
    <row r="191" spans="1:11" ht="11.25" customHeight="1" x14ac:dyDescent="0.25"/>
    <row r="192" spans="1: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sheetData>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65" orientation="portrait" r:id="rId1"/>
  <headerFooter alignWithMargins="0">
    <oddFooter>&amp;L&amp;F&amp;C&amp;A&amp;R&amp;D</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165"/>
  <sheetViews>
    <sheetView topLeftCell="A133" workbookViewId="0">
      <selection activeCell="B165" sqref="B165"/>
    </sheetView>
  </sheetViews>
  <sheetFormatPr defaultRowHeight="12.75" x14ac:dyDescent="0.2"/>
  <cols>
    <col min="1" max="1" width="53.42578125" bestFit="1" customWidth="1"/>
    <col min="2" max="2" width="15" bestFit="1" customWidth="1"/>
    <col min="3" max="3" width="13.5703125" bestFit="1" customWidth="1"/>
    <col min="4" max="4" width="14.28515625" bestFit="1" customWidth="1"/>
    <col min="5" max="5" width="13.7109375" bestFit="1" customWidth="1"/>
    <col min="6" max="6" width="17.85546875" bestFit="1" customWidth="1"/>
    <col min="7" max="7" width="17.7109375" bestFit="1" customWidth="1"/>
    <col min="8" max="8" width="12.42578125" bestFit="1" customWidth="1"/>
    <col min="9" max="9" width="19.7109375" bestFit="1" customWidth="1"/>
    <col min="10" max="10" width="16" bestFit="1" customWidth="1"/>
  </cols>
  <sheetData>
    <row r="1" spans="1:10" x14ac:dyDescent="0.2">
      <c r="A1" s="756" t="s">
        <v>973</v>
      </c>
      <c r="B1" s="660" t="s">
        <v>471</v>
      </c>
      <c r="C1" s="660" t="s">
        <v>558</v>
      </c>
      <c r="D1" s="660" t="s">
        <v>773</v>
      </c>
      <c r="E1" s="660" t="s">
        <v>1545</v>
      </c>
      <c r="F1" s="660" t="s">
        <v>1546</v>
      </c>
      <c r="G1" s="660" t="s">
        <v>1547</v>
      </c>
      <c r="H1" s="660" t="s">
        <v>1548</v>
      </c>
      <c r="I1" s="660" t="s">
        <v>1549</v>
      </c>
      <c r="J1" s="660" t="s">
        <v>774</v>
      </c>
    </row>
    <row r="2" spans="1:10" x14ac:dyDescent="0.2">
      <c r="A2" s="659" t="s">
        <v>2065</v>
      </c>
      <c r="B2" s="661" t="s">
        <v>973</v>
      </c>
      <c r="C2" s="661" t="s">
        <v>973</v>
      </c>
      <c r="D2" s="661" t="s">
        <v>973</v>
      </c>
      <c r="E2" s="661" t="s">
        <v>973</v>
      </c>
      <c r="F2" s="661" t="s">
        <v>973</v>
      </c>
      <c r="G2" s="661" t="s">
        <v>973</v>
      </c>
      <c r="H2" s="661" t="s">
        <v>973</v>
      </c>
      <c r="I2" s="661" t="s">
        <v>528</v>
      </c>
      <c r="J2" s="661" t="s">
        <v>973</v>
      </c>
    </row>
    <row r="3" spans="1:10" x14ac:dyDescent="0.2">
      <c r="A3" s="638" t="s">
        <v>811</v>
      </c>
      <c r="B3" s="637"/>
      <c r="C3" s="637"/>
      <c r="D3" s="637"/>
      <c r="E3" s="637"/>
      <c r="F3" s="637"/>
      <c r="G3" s="637"/>
      <c r="H3" s="637"/>
      <c r="I3" s="637"/>
      <c r="J3" s="637"/>
    </row>
    <row r="4" spans="1:10" x14ac:dyDescent="0.2">
      <c r="A4" s="639" t="s">
        <v>592</v>
      </c>
      <c r="B4" s="637">
        <v>314113554.81999999</v>
      </c>
      <c r="C4" s="637">
        <v>219444700</v>
      </c>
      <c r="D4" s="637">
        <v>179266900</v>
      </c>
      <c r="E4" s="637">
        <v>7926767.1900000004</v>
      </c>
      <c r="F4" s="637">
        <v>102931990.15000001</v>
      </c>
      <c r="G4" s="637">
        <v>136262268.83000001</v>
      </c>
      <c r="H4" s="637">
        <v>33330278.68</v>
      </c>
      <c r="I4" s="637">
        <v>453.97456585893099</v>
      </c>
      <c r="J4" s="637">
        <v>179266900</v>
      </c>
    </row>
    <row r="5" spans="1:10" x14ac:dyDescent="0.2">
      <c r="A5" s="640" t="s">
        <v>1119</v>
      </c>
      <c r="B5" s="637">
        <v>80434869.489999995</v>
      </c>
      <c r="C5" s="637">
        <v>39746000</v>
      </c>
      <c r="D5" s="637">
        <v>41883200</v>
      </c>
      <c r="E5" s="637">
        <v>311833.64</v>
      </c>
      <c r="F5" s="637">
        <v>29575318.739999998</v>
      </c>
      <c r="G5" s="637">
        <v>35029634.420000002</v>
      </c>
      <c r="H5" s="637">
        <v>5454315.6799999997</v>
      </c>
      <c r="I5" s="637">
        <v>114.34801081221499</v>
      </c>
      <c r="J5" s="637">
        <v>41883200</v>
      </c>
    </row>
    <row r="6" spans="1:10" x14ac:dyDescent="0.2">
      <c r="A6" s="641" t="s">
        <v>150</v>
      </c>
      <c r="B6" s="637">
        <v>72385615.680000007</v>
      </c>
      <c r="C6" s="637">
        <v>38746000</v>
      </c>
      <c r="D6" s="637">
        <v>40883200</v>
      </c>
      <c r="E6" s="637">
        <v>311833.64</v>
      </c>
      <c r="F6" s="637">
        <v>29575318.739999998</v>
      </c>
      <c r="G6" s="637">
        <v>34529634.420000002</v>
      </c>
      <c r="H6" s="637">
        <v>4954315.68</v>
      </c>
      <c r="I6" s="637">
        <v>14.3480108122153</v>
      </c>
      <c r="J6" s="637">
        <v>40883200</v>
      </c>
    </row>
    <row r="7" spans="1:10" x14ac:dyDescent="0.2">
      <c r="A7" s="641" t="s">
        <v>1120</v>
      </c>
      <c r="B7" s="637">
        <v>8049253.8099999996</v>
      </c>
      <c r="C7" s="637">
        <v>1000000</v>
      </c>
      <c r="D7" s="637">
        <v>1000000</v>
      </c>
      <c r="E7" s="637"/>
      <c r="F7" s="637"/>
      <c r="G7" s="637">
        <v>500000</v>
      </c>
      <c r="H7" s="637">
        <v>500000</v>
      </c>
      <c r="I7" s="637">
        <v>100</v>
      </c>
      <c r="J7" s="637">
        <v>1000000</v>
      </c>
    </row>
    <row r="8" spans="1:10" x14ac:dyDescent="0.2">
      <c r="A8" s="641" t="s">
        <v>1121</v>
      </c>
      <c r="B8" s="637"/>
      <c r="C8" s="637"/>
      <c r="D8" s="637"/>
      <c r="E8" s="637"/>
      <c r="F8" s="637"/>
      <c r="G8" s="637"/>
      <c r="H8" s="637"/>
      <c r="I8" s="637"/>
      <c r="J8" s="637"/>
    </row>
    <row r="9" spans="1:10" x14ac:dyDescent="0.2">
      <c r="A9" s="641" t="s">
        <v>1122</v>
      </c>
      <c r="B9" s="637"/>
      <c r="C9" s="637"/>
      <c r="D9" s="637"/>
      <c r="E9" s="637"/>
      <c r="F9" s="637"/>
      <c r="G9" s="637"/>
      <c r="H9" s="637"/>
      <c r="I9" s="637"/>
      <c r="J9" s="637"/>
    </row>
    <row r="10" spans="1:10" x14ac:dyDescent="0.2">
      <c r="A10" s="640" t="s">
        <v>1123</v>
      </c>
      <c r="B10" s="637">
        <v>3999895.52</v>
      </c>
      <c r="C10" s="637">
        <v>13515000</v>
      </c>
      <c r="D10" s="637">
        <v>18715000</v>
      </c>
      <c r="E10" s="637">
        <v>403261.06</v>
      </c>
      <c r="F10" s="637">
        <v>26475543.489999998</v>
      </c>
      <c r="G10" s="637">
        <v>21234603.93</v>
      </c>
      <c r="H10" s="637">
        <v>-5240939.5599999996</v>
      </c>
      <c r="I10" s="637">
        <v>-24.681126981585301</v>
      </c>
      <c r="J10" s="637">
        <v>18715000</v>
      </c>
    </row>
    <row r="11" spans="1:10" x14ac:dyDescent="0.2">
      <c r="A11" s="641" t="s">
        <v>1124</v>
      </c>
      <c r="B11" s="637"/>
      <c r="C11" s="637"/>
      <c r="D11" s="637"/>
      <c r="E11" s="637"/>
      <c r="F11" s="637"/>
      <c r="G11" s="637"/>
      <c r="H11" s="637"/>
      <c r="I11" s="637"/>
      <c r="J11" s="637"/>
    </row>
    <row r="12" spans="1:10" x14ac:dyDescent="0.2">
      <c r="A12" s="641" t="s">
        <v>1125</v>
      </c>
      <c r="B12" s="637">
        <v>3999895.52</v>
      </c>
      <c r="C12" s="637">
        <v>13515000</v>
      </c>
      <c r="D12" s="637">
        <v>18715000</v>
      </c>
      <c r="E12" s="637">
        <v>403261.06</v>
      </c>
      <c r="F12" s="637">
        <v>26475543.489999998</v>
      </c>
      <c r="G12" s="637">
        <v>21234603.93</v>
      </c>
      <c r="H12" s="637">
        <v>-5240939.5599999996</v>
      </c>
      <c r="I12" s="637">
        <v>-24.681126981585301</v>
      </c>
      <c r="J12" s="637">
        <v>18715000</v>
      </c>
    </row>
    <row r="13" spans="1:10" x14ac:dyDescent="0.2">
      <c r="A13" s="641" t="s">
        <v>1126</v>
      </c>
      <c r="B13" s="637"/>
      <c r="C13" s="637"/>
      <c r="D13" s="637"/>
      <c r="E13" s="637"/>
      <c r="F13" s="637"/>
      <c r="G13" s="637"/>
      <c r="H13" s="637"/>
      <c r="I13" s="637"/>
      <c r="J13" s="637"/>
    </row>
    <row r="14" spans="1:10" x14ac:dyDescent="0.2">
      <c r="A14" s="640" t="s">
        <v>1127</v>
      </c>
      <c r="B14" s="637">
        <v>31799923.629999999</v>
      </c>
      <c r="C14" s="637">
        <v>32965000</v>
      </c>
      <c r="D14" s="637">
        <v>19410000</v>
      </c>
      <c r="E14" s="637">
        <v>1273221</v>
      </c>
      <c r="F14" s="637">
        <v>4650688.2300000004</v>
      </c>
      <c r="G14" s="637">
        <v>6083095.54</v>
      </c>
      <c r="H14" s="637">
        <v>1432407.31</v>
      </c>
      <c r="I14" s="637">
        <v>112.086876412066</v>
      </c>
      <c r="J14" s="637">
        <v>19410000</v>
      </c>
    </row>
    <row r="15" spans="1:10" x14ac:dyDescent="0.2">
      <c r="A15" s="641" t="s">
        <v>1128</v>
      </c>
      <c r="B15" s="637"/>
      <c r="C15" s="637"/>
      <c r="D15" s="637"/>
      <c r="E15" s="637"/>
      <c r="F15" s="637"/>
      <c r="G15" s="637"/>
      <c r="H15" s="637"/>
      <c r="I15" s="637"/>
      <c r="J15" s="637"/>
    </row>
    <row r="16" spans="1:10" x14ac:dyDescent="0.2">
      <c r="A16" s="641" t="s">
        <v>1129</v>
      </c>
      <c r="B16" s="637"/>
      <c r="C16" s="637"/>
      <c r="D16" s="637"/>
      <c r="E16" s="637"/>
      <c r="F16" s="637"/>
      <c r="G16" s="637"/>
      <c r="H16" s="637"/>
      <c r="I16" s="637"/>
      <c r="J16" s="637"/>
    </row>
    <row r="17" spans="1:10" x14ac:dyDescent="0.2">
      <c r="A17" s="641" t="s">
        <v>1130</v>
      </c>
      <c r="B17" s="637"/>
      <c r="C17" s="637"/>
      <c r="D17" s="637"/>
      <c r="E17" s="637"/>
      <c r="F17" s="637"/>
      <c r="G17" s="637"/>
      <c r="H17" s="637"/>
      <c r="I17" s="637"/>
      <c r="J17" s="637"/>
    </row>
    <row r="18" spans="1:10" x14ac:dyDescent="0.2">
      <c r="A18" s="641" t="s">
        <v>1131</v>
      </c>
      <c r="B18" s="637"/>
      <c r="C18" s="637"/>
      <c r="D18" s="637"/>
      <c r="E18" s="637"/>
      <c r="F18" s="637"/>
      <c r="G18" s="637"/>
      <c r="H18" s="637"/>
      <c r="I18" s="637"/>
      <c r="J18" s="637"/>
    </row>
    <row r="19" spans="1:10" x14ac:dyDescent="0.2">
      <c r="A19" s="641" t="s">
        <v>1132</v>
      </c>
      <c r="B19" s="637"/>
      <c r="C19" s="637"/>
      <c r="D19" s="637"/>
      <c r="E19" s="637"/>
      <c r="F19" s="637"/>
      <c r="G19" s="637"/>
      <c r="H19" s="637"/>
      <c r="I19" s="637"/>
      <c r="J19" s="637"/>
    </row>
    <row r="20" spans="1:10" x14ac:dyDescent="0.2">
      <c r="A20" s="641" t="s">
        <v>1133</v>
      </c>
      <c r="B20" s="637"/>
      <c r="C20" s="637"/>
      <c r="D20" s="637"/>
      <c r="E20" s="637"/>
      <c r="F20" s="637"/>
      <c r="G20" s="637"/>
      <c r="H20" s="637"/>
      <c r="I20" s="637"/>
      <c r="J20" s="637"/>
    </row>
    <row r="21" spans="1:10" x14ac:dyDescent="0.2">
      <c r="A21" s="641" t="s">
        <v>1134</v>
      </c>
      <c r="B21" s="637">
        <v>31559177.629999999</v>
      </c>
      <c r="C21" s="637">
        <v>31872000</v>
      </c>
      <c r="D21" s="637">
        <v>18317000</v>
      </c>
      <c r="E21" s="637">
        <v>1273221</v>
      </c>
      <c r="F21" s="637">
        <v>4650688.2300000004</v>
      </c>
      <c r="G21" s="637">
        <v>5290095.54</v>
      </c>
      <c r="H21" s="637">
        <v>639407.31000000006</v>
      </c>
      <c r="I21" s="637">
        <v>12.086876412065701</v>
      </c>
      <c r="J21" s="637">
        <v>18317000</v>
      </c>
    </row>
    <row r="22" spans="1:10" x14ac:dyDescent="0.2">
      <c r="A22" s="641" t="s">
        <v>1135</v>
      </c>
      <c r="B22" s="637">
        <v>240746</v>
      </c>
      <c r="C22" s="637">
        <v>1093000</v>
      </c>
      <c r="D22" s="637">
        <v>1093000</v>
      </c>
      <c r="E22" s="637"/>
      <c r="F22" s="637">
        <v>0</v>
      </c>
      <c r="G22" s="637">
        <v>793000</v>
      </c>
      <c r="H22" s="637">
        <v>793000</v>
      </c>
      <c r="I22" s="637">
        <v>100</v>
      </c>
      <c r="J22" s="637">
        <v>1093000</v>
      </c>
    </row>
    <row r="23" spans="1:10" x14ac:dyDescent="0.2">
      <c r="A23" s="641" t="s">
        <v>1122</v>
      </c>
      <c r="B23" s="637"/>
      <c r="C23" s="637"/>
      <c r="D23" s="637"/>
      <c r="E23" s="637"/>
      <c r="F23" s="637"/>
      <c r="G23" s="637"/>
      <c r="H23" s="637"/>
      <c r="I23" s="637"/>
      <c r="J23" s="637"/>
    </row>
    <row r="24" spans="1:10" x14ac:dyDescent="0.2">
      <c r="A24" s="640" t="s">
        <v>1136</v>
      </c>
      <c r="B24" s="637">
        <v>159139614.86000001</v>
      </c>
      <c r="C24" s="637">
        <v>125229700</v>
      </c>
      <c r="D24" s="637">
        <v>89988700</v>
      </c>
      <c r="E24" s="637">
        <v>5538122</v>
      </c>
      <c r="F24" s="637">
        <v>36306305.229999997</v>
      </c>
      <c r="G24" s="637">
        <v>64695723.670000002</v>
      </c>
      <c r="H24" s="637">
        <v>28389418.440000001</v>
      </c>
      <c r="I24" s="637">
        <v>97.816342620835997</v>
      </c>
      <c r="J24" s="637">
        <v>89988700</v>
      </c>
    </row>
    <row r="25" spans="1:10" x14ac:dyDescent="0.2">
      <c r="A25" s="641" t="s">
        <v>1137</v>
      </c>
      <c r="B25" s="637"/>
      <c r="C25" s="637"/>
      <c r="D25" s="637"/>
      <c r="E25" s="637"/>
      <c r="F25" s="637"/>
      <c r="G25" s="637"/>
      <c r="H25" s="637"/>
      <c r="I25" s="637"/>
      <c r="J25" s="637"/>
    </row>
    <row r="26" spans="1:10" x14ac:dyDescent="0.2">
      <c r="A26" s="641" t="s">
        <v>1138</v>
      </c>
      <c r="B26" s="637">
        <v>-1477542</v>
      </c>
      <c r="C26" s="637">
        <v>4000000</v>
      </c>
      <c r="D26" s="637"/>
      <c r="E26" s="637"/>
      <c r="F26" s="637"/>
      <c r="G26" s="637"/>
      <c r="H26" s="637"/>
      <c r="I26" s="637"/>
      <c r="J26" s="637"/>
    </row>
    <row r="27" spans="1:10" x14ac:dyDescent="0.2">
      <c r="A27" s="641" t="s">
        <v>1139</v>
      </c>
      <c r="B27" s="637">
        <v>-2020099.82</v>
      </c>
      <c r="C27" s="637"/>
      <c r="D27" s="637"/>
      <c r="E27" s="637"/>
      <c r="F27" s="637"/>
      <c r="G27" s="637"/>
      <c r="H27" s="637"/>
      <c r="I27" s="637"/>
      <c r="J27" s="637"/>
    </row>
    <row r="28" spans="1:10" x14ac:dyDescent="0.2">
      <c r="A28" s="641" t="s">
        <v>1140</v>
      </c>
      <c r="B28" s="637">
        <v>2421734.48</v>
      </c>
      <c r="C28" s="637">
        <v>5000000</v>
      </c>
      <c r="D28" s="637">
        <v>5000000</v>
      </c>
      <c r="E28" s="637"/>
      <c r="F28" s="637"/>
      <c r="G28" s="637"/>
      <c r="H28" s="637"/>
      <c r="I28" s="637"/>
      <c r="J28" s="637">
        <v>5000000</v>
      </c>
    </row>
    <row r="29" spans="1:10" x14ac:dyDescent="0.2">
      <c r="A29" s="641" t="s">
        <v>1141</v>
      </c>
      <c r="B29" s="637">
        <v>1937327.16</v>
      </c>
      <c r="C29" s="637"/>
      <c r="D29" s="637"/>
      <c r="E29" s="637"/>
      <c r="F29" s="637"/>
      <c r="G29" s="637"/>
      <c r="H29" s="637"/>
      <c r="I29" s="637"/>
      <c r="J29" s="637"/>
    </row>
    <row r="30" spans="1:10" x14ac:dyDescent="0.2">
      <c r="A30" s="641" t="s">
        <v>1142</v>
      </c>
      <c r="B30" s="637">
        <v>972529.3</v>
      </c>
      <c r="C30" s="637">
        <v>9419000</v>
      </c>
      <c r="D30" s="637">
        <v>9419000</v>
      </c>
      <c r="E30" s="637"/>
      <c r="F30" s="637">
        <v>8297395.3300000001</v>
      </c>
      <c r="G30" s="637">
        <v>8919000</v>
      </c>
      <c r="H30" s="637">
        <v>621604.67000000004</v>
      </c>
      <c r="I30" s="637">
        <v>6.9694435474829</v>
      </c>
      <c r="J30" s="637">
        <v>9419000</v>
      </c>
    </row>
    <row r="31" spans="1:10" x14ac:dyDescent="0.2">
      <c r="A31" s="641" t="s">
        <v>1143</v>
      </c>
      <c r="B31" s="637">
        <v>149086227</v>
      </c>
      <c r="C31" s="637">
        <v>89510700</v>
      </c>
      <c r="D31" s="637">
        <v>58269700</v>
      </c>
      <c r="E31" s="637">
        <v>1008800</v>
      </c>
      <c r="F31" s="637">
        <v>21308655.149999999</v>
      </c>
      <c r="G31" s="637">
        <v>44920204.420000002</v>
      </c>
      <c r="H31" s="637">
        <v>23611549.27</v>
      </c>
      <c r="I31" s="637">
        <v>52.5633166074537</v>
      </c>
      <c r="J31" s="637">
        <v>58269700</v>
      </c>
    </row>
    <row r="32" spans="1:10" x14ac:dyDescent="0.2">
      <c r="A32" s="641" t="s">
        <v>1144</v>
      </c>
      <c r="B32" s="637">
        <v>8219438.7400000002</v>
      </c>
      <c r="C32" s="637">
        <v>17300000</v>
      </c>
      <c r="D32" s="637">
        <v>17300000</v>
      </c>
      <c r="E32" s="637">
        <v>4529322</v>
      </c>
      <c r="F32" s="637">
        <v>6700254.75</v>
      </c>
      <c r="G32" s="637">
        <v>10856519.25</v>
      </c>
      <c r="H32" s="637">
        <v>4156264.5</v>
      </c>
      <c r="I32" s="637">
        <v>38.283582465899499</v>
      </c>
      <c r="J32" s="637">
        <v>17300000</v>
      </c>
    </row>
    <row r="33" spans="1:10" x14ac:dyDescent="0.2">
      <c r="A33" s="641" t="s">
        <v>1145</v>
      </c>
      <c r="B33" s="637"/>
      <c r="C33" s="637"/>
      <c r="D33" s="637"/>
      <c r="E33" s="637"/>
      <c r="F33" s="637"/>
      <c r="G33" s="637"/>
      <c r="H33" s="637"/>
      <c r="I33" s="637"/>
      <c r="J33" s="637"/>
    </row>
    <row r="34" spans="1:10" x14ac:dyDescent="0.2">
      <c r="A34" s="641" t="s">
        <v>1122</v>
      </c>
      <c r="B34" s="637"/>
      <c r="C34" s="637"/>
      <c r="D34" s="637"/>
      <c r="E34" s="637"/>
      <c r="F34" s="637"/>
      <c r="G34" s="637"/>
      <c r="H34" s="637"/>
      <c r="I34" s="637"/>
      <c r="J34" s="637"/>
    </row>
    <row r="35" spans="1:10" x14ac:dyDescent="0.2">
      <c r="A35" s="640" t="s">
        <v>1146</v>
      </c>
      <c r="B35" s="637">
        <v>36866761.18</v>
      </c>
      <c r="C35" s="637">
        <v>2000000</v>
      </c>
      <c r="D35" s="637">
        <v>6000000</v>
      </c>
      <c r="E35" s="637">
        <v>400329.49</v>
      </c>
      <c r="F35" s="637">
        <v>5063534.46</v>
      </c>
      <c r="G35" s="637">
        <v>3935366.97</v>
      </c>
      <c r="H35" s="637">
        <v>-1128167.49</v>
      </c>
      <c r="I35" s="637">
        <v>-28.6674025218034</v>
      </c>
      <c r="J35" s="637">
        <v>6000000</v>
      </c>
    </row>
    <row r="36" spans="1:10" x14ac:dyDescent="0.2">
      <c r="A36" s="641" t="s">
        <v>1147</v>
      </c>
      <c r="B36" s="637">
        <v>11398094.18</v>
      </c>
      <c r="C36" s="637"/>
      <c r="D36" s="637">
        <v>4000000</v>
      </c>
      <c r="E36" s="637">
        <v>400329.49</v>
      </c>
      <c r="F36" s="637">
        <v>5063534.46</v>
      </c>
      <c r="G36" s="637">
        <v>3935366.97</v>
      </c>
      <c r="H36" s="637">
        <v>-1128167.49</v>
      </c>
      <c r="I36" s="637">
        <v>-28.6674025218034</v>
      </c>
      <c r="J36" s="637">
        <v>4000000</v>
      </c>
    </row>
    <row r="37" spans="1:10" x14ac:dyDescent="0.2">
      <c r="A37" s="641" t="s">
        <v>117</v>
      </c>
      <c r="B37" s="637">
        <v>461823.09</v>
      </c>
      <c r="C37" s="637">
        <v>2000000</v>
      </c>
      <c r="D37" s="637">
        <v>2000000</v>
      </c>
      <c r="E37" s="637"/>
      <c r="F37" s="637"/>
      <c r="G37" s="637"/>
      <c r="H37" s="637"/>
      <c r="I37" s="637"/>
      <c r="J37" s="637">
        <v>2000000</v>
      </c>
    </row>
    <row r="38" spans="1:10" x14ac:dyDescent="0.2">
      <c r="A38" s="641" t="s">
        <v>1148</v>
      </c>
      <c r="B38" s="637">
        <v>0</v>
      </c>
      <c r="C38" s="637"/>
      <c r="D38" s="637"/>
      <c r="E38" s="637"/>
      <c r="F38" s="637"/>
      <c r="G38" s="637"/>
      <c r="H38" s="637"/>
      <c r="I38" s="637"/>
      <c r="J38" s="637"/>
    </row>
    <row r="39" spans="1:10" x14ac:dyDescent="0.2">
      <c r="A39" s="641" t="s">
        <v>1149</v>
      </c>
      <c r="B39" s="637">
        <v>25006843.91</v>
      </c>
      <c r="C39" s="637"/>
      <c r="D39" s="637"/>
      <c r="E39" s="637"/>
      <c r="F39" s="637"/>
      <c r="G39" s="637"/>
      <c r="H39" s="637"/>
      <c r="I39" s="637"/>
      <c r="J39" s="637"/>
    </row>
    <row r="40" spans="1:10" x14ac:dyDescent="0.2">
      <c r="A40" s="641" t="s">
        <v>1150</v>
      </c>
      <c r="B40" s="637"/>
      <c r="C40" s="637"/>
      <c r="D40" s="637"/>
      <c r="E40" s="637"/>
      <c r="F40" s="637"/>
      <c r="G40" s="637"/>
      <c r="H40" s="637"/>
      <c r="I40" s="637"/>
      <c r="J40" s="637"/>
    </row>
    <row r="41" spans="1:10" x14ac:dyDescent="0.2">
      <c r="A41" s="641" t="s">
        <v>1122</v>
      </c>
      <c r="B41" s="637"/>
      <c r="C41" s="637"/>
      <c r="D41" s="637"/>
      <c r="E41" s="637"/>
      <c r="F41" s="637"/>
      <c r="G41" s="637"/>
      <c r="H41" s="637"/>
      <c r="I41" s="637"/>
      <c r="J41" s="637"/>
    </row>
    <row r="42" spans="1:10" x14ac:dyDescent="0.2">
      <c r="A42" s="640" t="s">
        <v>1151</v>
      </c>
      <c r="B42" s="637">
        <v>1936067.74</v>
      </c>
      <c r="C42" s="637">
        <v>2719000</v>
      </c>
      <c r="D42" s="637"/>
      <c r="E42" s="637"/>
      <c r="F42" s="637"/>
      <c r="G42" s="637"/>
      <c r="H42" s="637"/>
      <c r="I42" s="637"/>
      <c r="J42" s="637"/>
    </row>
    <row r="43" spans="1:10" x14ac:dyDescent="0.2">
      <c r="A43" s="641" t="s">
        <v>1152</v>
      </c>
      <c r="B43" s="637"/>
      <c r="C43" s="637"/>
      <c r="D43" s="637"/>
      <c r="E43" s="637"/>
      <c r="F43" s="637"/>
      <c r="G43" s="637"/>
      <c r="H43" s="637"/>
      <c r="I43" s="637"/>
      <c r="J43" s="637"/>
    </row>
    <row r="44" spans="1:10" x14ac:dyDescent="0.2">
      <c r="A44" s="641" t="s">
        <v>1153</v>
      </c>
      <c r="B44" s="637">
        <v>1936067.74</v>
      </c>
      <c r="C44" s="637">
        <v>2719000</v>
      </c>
      <c r="D44" s="637"/>
      <c r="E44" s="637"/>
      <c r="F44" s="637"/>
      <c r="G44" s="637"/>
      <c r="H44" s="637"/>
      <c r="I44" s="637"/>
      <c r="J44" s="637"/>
    </row>
    <row r="45" spans="1:10" x14ac:dyDescent="0.2">
      <c r="A45" s="641" t="s">
        <v>1154</v>
      </c>
      <c r="B45" s="637"/>
      <c r="C45" s="637"/>
      <c r="D45" s="637"/>
      <c r="E45" s="637"/>
      <c r="F45" s="637"/>
      <c r="G45" s="637"/>
      <c r="H45" s="637"/>
      <c r="I45" s="637"/>
      <c r="J45" s="637"/>
    </row>
    <row r="46" spans="1:10" x14ac:dyDescent="0.2">
      <c r="A46" s="641" t="s">
        <v>1155</v>
      </c>
      <c r="B46" s="637"/>
      <c r="C46" s="637"/>
      <c r="D46" s="637"/>
      <c r="E46" s="637"/>
      <c r="F46" s="637"/>
      <c r="G46" s="637"/>
      <c r="H46" s="637"/>
      <c r="I46" s="637"/>
      <c r="J46" s="637"/>
    </row>
    <row r="47" spans="1:10" x14ac:dyDescent="0.2">
      <c r="A47" s="641" t="s">
        <v>1156</v>
      </c>
      <c r="B47" s="637"/>
      <c r="C47" s="637"/>
      <c r="D47" s="637"/>
      <c r="E47" s="637"/>
      <c r="F47" s="637"/>
      <c r="G47" s="637"/>
      <c r="H47" s="637"/>
      <c r="I47" s="637"/>
      <c r="J47" s="637"/>
    </row>
    <row r="48" spans="1:10" x14ac:dyDescent="0.2">
      <c r="A48" s="641" t="s">
        <v>1157</v>
      </c>
      <c r="B48" s="637"/>
      <c r="C48" s="637"/>
      <c r="D48" s="637"/>
      <c r="E48" s="637"/>
      <c r="F48" s="637"/>
      <c r="G48" s="637"/>
      <c r="H48" s="637"/>
      <c r="I48" s="637"/>
      <c r="J48" s="637"/>
    </row>
    <row r="49" spans="1:10" x14ac:dyDescent="0.2">
      <c r="A49" s="641" t="s">
        <v>1122</v>
      </c>
      <c r="B49" s="637"/>
      <c r="C49" s="637"/>
      <c r="D49" s="637"/>
      <c r="E49" s="637"/>
      <c r="F49" s="637"/>
      <c r="G49" s="637"/>
      <c r="H49" s="637"/>
      <c r="I49" s="637"/>
      <c r="J49" s="637"/>
    </row>
    <row r="50" spans="1:10" x14ac:dyDescent="0.2">
      <c r="A50" s="640" t="s">
        <v>1158</v>
      </c>
      <c r="B50" s="637"/>
      <c r="C50" s="637"/>
      <c r="D50" s="637"/>
      <c r="E50" s="637"/>
      <c r="F50" s="637"/>
      <c r="G50" s="637"/>
      <c r="H50" s="637"/>
      <c r="I50" s="637"/>
      <c r="J50" s="637"/>
    </row>
    <row r="51" spans="1:10" x14ac:dyDescent="0.2">
      <c r="A51" s="641" t="s">
        <v>1159</v>
      </c>
      <c r="B51" s="637"/>
      <c r="C51" s="637"/>
      <c r="D51" s="637"/>
      <c r="E51" s="637"/>
      <c r="F51" s="637"/>
      <c r="G51" s="637"/>
      <c r="H51" s="637"/>
      <c r="I51" s="637"/>
      <c r="J51" s="637"/>
    </row>
    <row r="52" spans="1:10" x14ac:dyDescent="0.2">
      <c r="A52" s="641" t="s">
        <v>1160</v>
      </c>
      <c r="B52" s="637"/>
      <c r="C52" s="637"/>
      <c r="D52" s="637"/>
      <c r="E52" s="637"/>
      <c r="F52" s="637"/>
      <c r="G52" s="637"/>
      <c r="H52" s="637"/>
      <c r="I52" s="637"/>
      <c r="J52" s="637"/>
    </row>
    <row r="53" spans="1:10" x14ac:dyDescent="0.2">
      <c r="A53" s="641" t="s">
        <v>1161</v>
      </c>
      <c r="B53" s="637"/>
      <c r="C53" s="637"/>
      <c r="D53" s="637"/>
      <c r="E53" s="637"/>
      <c r="F53" s="637"/>
      <c r="G53" s="637"/>
      <c r="H53" s="637"/>
      <c r="I53" s="637"/>
      <c r="J53" s="637"/>
    </row>
    <row r="54" spans="1:10" x14ac:dyDescent="0.2">
      <c r="A54" s="641" t="s">
        <v>1124</v>
      </c>
      <c r="B54" s="637"/>
      <c r="C54" s="637"/>
      <c r="D54" s="637"/>
      <c r="E54" s="637"/>
      <c r="F54" s="637"/>
      <c r="G54" s="637"/>
      <c r="H54" s="637"/>
      <c r="I54" s="637"/>
      <c r="J54" s="637"/>
    </row>
    <row r="55" spans="1:10" x14ac:dyDescent="0.2">
      <c r="A55" s="641" t="s">
        <v>1125</v>
      </c>
      <c r="B55" s="637"/>
      <c r="C55" s="637"/>
      <c r="D55" s="637"/>
      <c r="E55" s="637"/>
      <c r="F55" s="637"/>
      <c r="G55" s="637"/>
      <c r="H55" s="637"/>
      <c r="I55" s="637"/>
      <c r="J55" s="637"/>
    </row>
    <row r="56" spans="1:10" x14ac:dyDescent="0.2">
      <c r="A56" s="641" t="s">
        <v>1126</v>
      </c>
      <c r="B56" s="637"/>
      <c r="C56" s="637"/>
      <c r="D56" s="637"/>
      <c r="E56" s="637"/>
      <c r="F56" s="637"/>
      <c r="G56" s="637"/>
      <c r="H56" s="637"/>
      <c r="I56" s="637"/>
      <c r="J56" s="637"/>
    </row>
    <row r="57" spans="1:10" x14ac:dyDescent="0.2">
      <c r="A57" s="641" t="s">
        <v>1132</v>
      </c>
      <c r="B57" s="637"/>
      <c r="C57" s="637"/>
      <c r="D57" s="637"/>
      <c r="E57" s="637"/>
      <c r="F57" s="637"/>
      <c r="G57" s="637"/>
      <c r="H57" s="637"/>
      <c r="I57" s="637"/>
      <c r="J57" s="637"/>
    </row>
    <row r="58" spans="1:10" x14ac:dyDescent="0.2">
      <c r="A58" s="641" t="s">
        <v>1135</v>
      </c>
      <c r="B58" s="637"/>
      <c r="C58" s="637"/>
      <c r="D58" s="637"/>
      <c r="E58" s="637"/>
      <c r="F58" s="637"/>
      <c r="G58" s="637"/>
      <c r="H58" s="637"/>
      <c r="I58" s="637"/>
      <c r="J58" s="637"/>
    </row>
    <row r="59" spans="1:10" x14ac:dyDescent="0.2">
      <c r="A59" s="641" t="s">
        <v>1122</v>
      </c>
      <c r="B59" s="637"/>
      <c r="C59" s="637"/>
      <c r="D59" s="637"/>
      <c r="E59" s="637"/>
      <c r="F59" s="637"/>
      <c r="G59" s="637"/>
      <c r="H59" s="637"/>
      <c r="I59" s="637"/>
      <c r="J59" s="637"/>
    </row>
    <row r="60" spans="1:10" x14ac:dyDescent="0.2">
      <c r="A60" s="640" t="s">
        <v>1162</v>
      </c>
      <c r="B60" s="637">
        <v>-134090.76</v>
      </c>
      <c r="C60" s="637">
        <v>3200000</v>
      </c>
      <c r="D60" s="637">
        <v>3200000</v>
      </c>
      <c r="E60" s="637"/>
      <c r="F60" s="637">
        <v>860600</v>
      </c>
      <c r="G60" s="637">
        <v>5283844.3</v>
      </c>
      <c r="H60" s="637">
        <v>4423244.3</v>
      </c>
      <c r="I60" s="637">
        <v>183.07186551720301</v>
      </c>
      <c r="J60" s="637">
        <v>3200000</v>
      </c>
    </row>
    <row r="61" spans="1:10" x14ac:dyDescent="0.2">
      <c r="A61" s="641" t="s">
        <v>1163</v>
      </c>
      <c r="B61" s="637">
        <v>-533660.76</v>
      </c>
      <c r="C61" s="637">
        <v>200000</v>
      </c>
      <c r="D61" s="637">
        <v>200000</v>
      </c>
      <c r="E61" s="637"/>
      <c r="F61" s="637"/>
      <c r="G61" s="637">
        <v>200000</v>
      </c>
      <c r="H61" s="637">
        <v>200000</v>
      </c>
      <c r="I61" s="637">
        <v>100</v>
      </c>
      <c r="J61" s="637">
        <v>200000</v>
      </c>
    </row>
    <row r="62" spans="1:10" x14ac:dyDescent="0.2">
      <c r="A62" s="641" t="s">
        <v>1164</v>
      </c>
      <c r="B62" s="637">
        <v>399570</v>
      </c>
      <c r="C62" s="637">
        <v>3000000</v>
      </c>
      <c r="D62" s="637">
        <v>3000000</v>
      </c>
      <c r="E62" s="637"/>
      <c r="F62" s="637">
        <v>860600</v>
      </c>
      <c r="G62" s="637">
        <v>5083844.3</v>
      </c>
      <c r="H62" s="637">
        <v>4223244.3</v>
      </c>
      <c r="I62" s="637">
        <v>83.071865517203193</v>
      </c>
      <c r="J62" s="637">
        <v>3000000</v>
      </c>
    </row>
    <row r="63" spans="1:10" x14ac:dyDescent="0.2">
      <c r="A63" s="641" t="s">
        <v>1165</v>
      </c>
      <c r="B63" s="637"/>
      <c r="C63" s="637"/>
      <c r="D63" s="637"/>
      <c r="E63" s="637"/>
      <c r="F63" s="637"/>
      <c r="G63" s="637"/>
      <c r="H63" s="637"/>
      <c r="I63" s="637"/>
      <c r="J63" s="637"/>
    </row>
    <row r="64" spans="1:10" x14ac:dyDescent="0.2">
      <c r="A64" s="641" t="s">
        <v>1166</v>
      </c>
      <c r="B64" s="637"/>
      <c r="C64" s="637"/>
      <c r="D64" s="637"/>
      <c r="E64" s="637"/>
      <c r="F64" s="637"/>
      <c r="G64" s="637"/>
      <c r="H64" s="637"/>
      <c r="I64" s="637"/>
      <c r="J64" s="637"/>
    </row>
    <row r="65" spans="1:10" x14ac:dyDescent="0.2">
      <c r="A65" s="641" t="s">
        <v>1122</v>
      </c>
      <c r="B65" s="637"/>
      <c r="C65" s="637"/>
      <c r="D65" s="637"/>
      <c r="E65" s="637"/>
      <c r="F65" s="637"/>
      <c r="G65" s="637"/>
      <c r="H65" s="637"/>
      <c r="I65" s="637"/>
      <c r="J65" s="637"/>
    </row>
    <row r="66" spans="1:10" x14ac:dyDescent="0.2">
      <c r="A66" s="640" t="s">
        <v>1167</v>
      </c>
      <c r="B66" s="637">
        <v>70513.16</v>
      </c>
      <c r="C66" s="637">
        <v>70000</v>
      </c>
      <c r="D66" s="637">
        <v>70000</v>
      </c>
      <c r="E66" s="637"/>
      <c r="F66" s="637"/>
      <c r="G66" s="637"/>
      <c r="H66" s="637"/>
      <c r="I66" s="637"/>
      <c r="J66" s="637">
        <v>70000</v>
      </c>
    </row>
    <row r="67" spans="1:10" x14ac:dyDescent="0.2">
      <c r="A67" s="641" t="s">
        <v>1168</v>
      </c>
      <c r="B67" s="637">
        <v>-351774.86</v>
      </c>
      <c r="C67" s="637">
        <v>70000</v>
      </c>
      <c r="D67" s="637">
        <v>70000</v>
      </c>
      <c r="E67" s="637"/>
      <c r="F67" s="637"/>
      <c r="G67" s="637"/>
      <c r="H67" s="637"/>
      <c r="I67" s="637"/>
      <c r="J67" s="637">
        <v>70000</v>
      </c>
    </row>
    <row r="68" spans="1:10" x14ac:dyDescent="0.2">
      <c r="A68" s="641" t="s">
        <v>1169</v>
      </c>
      <c r="B68" s="637">
        <v>422288.02</v>
      </c>
      <c r="C68" s="637"/>
      <c r="D68" s="637"/>
      <c r="E68" s="637"/>
      <c r="F68" s="637"/>
      <c r="G68" s="637"/>
      <c r="H68" s="637"/>
      <c r="I68" s="637"/>
      <c r="J68" s="637"/>
    </row>
    <row r="69" spans="1:10" x14ac:dyDescent="0.2">
      <c r="A69" s="641" t="s">
        <v>1170</v>
      </c>
      <c r="B69" s="637"/>
      <c r="C69" s="637"/>
      <c r="D69" s="637"/>
      <c r="E69" s="637"/>
      <c r="F69" s="637"/>
      <c r="G69" s="637"/>
      <c r="H69" s="637"/>
      <c r="I69" s="637"/>
      <c r="J69" s="637"/>
    </row>
    <row r="70" spans="1:10" x14ac:dyDescent="0.2">
      <c r="A70" s="641" t="s">
        <v>1122</v>
      </c>
      <c r="B70" s="637"/>
      <c r="C70" s="637"/>
      <c r="D70" s="637"/>
      <c r="E70" s="637"/>
      <c r="F70" s="637"/>
      <c r="G70" s="637"/>
      <c r="H70" s="637"/>
      <c r="I70" s="637"/>
      <c r="J70" s="637"/>
    </row>
    <row r="71" spans="1:10" x14ac:dyDescent="0.2">
      <c r="A71" s="639" t="s">
        <v>1191</v>
      </c>
      <c r="B71" s="637">
        <v>71202055.269999996</v>
      </c>
      <c r="C71" s="637">
        <v>44795000</v>
      </c>
      <c r="D71" s="637">
        <v>58695000</v>
      </c>
      <c r="E71" s="637"/>
      <c r="F71" s="637">
        <v>21893186.18</v>
      </c>
      <c r="G71" s="637">
        <v>25693331.5</v>
      </c>
      <c r="H71" s="637">
        <v>3800145.32</v>
      </c>
      <c r="I71" s="637">
        <v>0.16595944682389699</v>
      </c>
      <c r="J71" s="637">
        <v>58695000</v>
      </c>
    </row>
    <row r="72" spans="1:10" x14ac:dyDescent="0.2">
      <c r="A72" s="640" t="s">
        <v>1171</v>
      </c>
      <c r="B72" s="637">
        <v>39738560.93</v>
      </c>
      <c r="C72" s="637">
        <v>32167000</v>
      </c>
      <c r="D72" s="637">
        <v>46067000</v>
      </c>
      <c r="E72" s="637"/>
      <c r="F72" s="637">
        <v>11509806.369999999</v>
      </c>
      <c r="G72" s="637">
        <v>18065331.5</v>
      </c>
      <c r="H72" s="637">
        <v>6555525.1299999999</v>
      </c>
      <c r="I72" s="637">
        <v>36.287876200887901</v>
      </c>
      <c r="J72" s="637">
        <v>46067000</v>
      </c>
    </row>
    <row r="73" spans="1:10" x14ac:dyDescent="0.2">
      <c r="A73" s="641" t="s">
        <v>1172</v>
      </c>
      <c r="B73" s="637">
        <v>432619.04</v>
      </c>
      <c r="C73" s="637"/>
      <c r="D73" s="637"/>
      <c r="E73" s="637"/>
      <c r="F73" s="637"/>
      <c r="G73" s="637"/>
      <c r="H73" s="637"/>
      <c r="I73" s="637"/>
      <c r="J73" s="637"/>
    </row>
    <row r="74" spans="1:10" x14ac:dyDescent="0.2">
      <c r="A74" s="641" t="s">
        <v>1173</v>
      </c>
      <c r="B74" s="637"/>
      <c r="C74" s="637"/>
      <c r="D74" s="637"/>
      <c r="E74" s="637"/>
      <c r="F74" s="637"/>
      <c r="G74" s="637"/>
      <c r="H74" s="637"/>
      <c r="I74" s="637"/>
      <c r="J74" s="637"/>
    </row>
    <row r="75" spans="1:10" x14ac:dyDescent="0.2">
      <c r="A75" s="641" t="s">
        <v>1174</v>
      </c>
      <c r="B75" s="637"/>
      <c r="C75" s="637"/>
      <c r="D75" s="637"/>
      <c r="E75" s="637"/>
      <c r="F75" s="637"/>
      <c r="G75" s="637"/>
      <c r="H75" s="637"/>
      <c r="I75" s="637"/>
      <c r="J75" s="637"/>
    </row>
    <row r="76" spans="1:10" x14ac:dyDescent="0.2">
      <c r="A76" s="641" t="s">
        <v>1175</v>
      </c>
      <c r="B76" s="637"/>
      <c r="C76" s="637"/>
      <c r="D76" s="637"/>
      <c r="E76" s="637"/>
      <c r="F76" s="637"/>
      <c r="G76" s="637"/>
      <c r="H76" s="637"/>
      <c r="I76" s="637"/>
      <c r="J76" s="637"/>
    </row>
    <row r="77" spans="1:10" x14ac:dyDescent="0.2">
      <c r="A77" s="641" t="s">
        <v>1176</v>
      </c>
      <c r="B77" s="637"/>
      <c r="C77" s="637"/>
      <c r="D77" s="637"/>
      <c r="E77" s="637"/>
      <c r="F77" s="637"/>
      <c r="G77" s="637"/>
      <c r="H77" s="637"/>
      <c r="I77" s="637"/>
      <c r="J77" s="637"/>
    </row>
    <row r="78" spans="1:10" x14ac:dyDescent="0.2">
      <c r="A78" s="641" t="s">
        <v>1177</v>
      </c>
      <c r="B78" s="637"/>
      <c r="C78" s="637"/>
      <c r="D78" s="637"/>
      <c r="E78" s="637"/>
      <c r="F78" s="637"/>
      <c r="G78" s="637"/>
      <c r="H78" s="637"/>
      <c r="I78" s="637"/>
      <c r="J78" s="637"/>
    </row>
    <row r="79" spans="1:10" x14ac:dyDescent="0.2">
      <c r="A79" s="641" t="s">
        <v>1178</v>
      </c>
      <c r="B79" s="637"/>
      <c r="C79" s="637"/>
      <c r="D79" s="637"/>
      <c r="E79" s="637"/>
      <c r="F79" s="637"/>
      <c r="G79" s="637"/>
      <c r="H79" s="637"/>
      <c r="I79" s="637"/>
      <c r="J79" s="637"/>
    </row>
    <row r="80" spans="1:10" x14ac:dyDescent="0.2">
      <c r="A80" s="641" t="s">
        <v>1179</v>
      </c>
      <c r="B80" s="637"/>
      <c r="C80" s="637"/>
      <c r="D80" s="637"/>
      <c r="E80" s="637"/>
      <c r="F80" s="637"/>
      <c r="G80" s="637"/>
      <c r="H80" s="637"/>
      <c r="I80" s="637"/>
      <c r="J80" s="637"/>
    </row>
    <row r="81" spans="1:10" x14ac:dyDescent="0.2">
      <c r="A81" s="641" t="s">
        <v>1055</v>
      </c>
      <c r="B81" s="637"/>
      <c r="C81" s="637"/>
      <c r="D81" s="637"/>
      <c r="E81" s="637"/>
      <c r="F81" s="637"/>
      <c r="G81" s="637"/>
      <c r="H81" s="637"/>
      <c r="I81" s="637"/>
      <c r="J81" s="637"/>
    </row>
    <row r="82" spans="1:10" x14ac:dyDescent="0.2">
      <c r="A82" s="641" t="s">
        <v>508</v>
      </c>
      <c r="B82" s="637">
        <v>3872522.69</v>
      </c>
      <c r="C82" s="637"/>
      <c r="D82" s="637"/>
      <c r="E82" s="637"/>
      <c r="F82" s="637"/>
      <c r="G82" s="637"/>
      <c r="H82" s="637"/>
      <c r="I82" s="637"/>
      <c r="J82" s="637"/>
    </row>
    <row r="83" spans="1:10" x14ac:dyDescent="0.2">
      <c r="A83" s="641" t="s">
        <v>1180</v>
      </c>
      <c r="B83" s="637"/>
      <c r="C83" s="637"/>
      <c r="D83" s="637"/>
      <c r="E83" s="637"/>
      <c r="F83" s="637"/>
      <c r="G83" s="637"/>
      <c r="H83" s="637"/>
      <c r="I83" s="637"/>
      <c r="J83" s="637"/>
    </row>
    <row r="84" spans="1:10" x14ac:dyDescent="0.2">
      <c r="A84" s="641" t="s">
        <v>148</v>
      </c>
      <c r="B84" s="637"/>
      <c r="C84" s="637"/>
      <c r="D84" s="637"/>
      <c r="E84" s="637"/>
      <c r="F84" s="637"/>
      <c r="G84" s="637"/>
      <c r="H84" s="637"/>
      <c r="I84" s="637"/>
      <c r="J84" s="637"/>
    </row>
    <row r="85" spans="1:10" x14ac:dyDescent="0.2">
      <c r="A85" s="641" t="s">
        <v>1181</v>
      </c>
      <c r="B85" s="637"/>
      <c r="C85" s="637"/>
      <c r="D85" s="637"/>
      <c r="E85" s="637"/>
      <c r="F85" s="637"/>
      <c r="G85" s="637"/>
      <c r="H85" s="637"/>
      <c r="I85" s="637"/>
      <c r="J85" s="637"/>
    </row>
    <row r="86" spans="1:10" x14ac:dyDescent="0.2">
      <c r="A86" s="641" t="s">
        <v>1182</v>
      </c>
      <c r="B86" s="637"/>
      <c r="C86" s="637"/>
      <c r="D86" s="637"/>
      <c r="E86" s="637"/>
      <c r="F86" s="637"/>
      <c r="G86" s="637"/>
      <c r="H86" s="637"/>
      <c r="I86" s="637"/>
      <c r="J86" s="637"/>
    </row>
    <row r="87" spans="1:10" x14ac:dyDescent="0.2">
      <c r="A87" s="641" t="s">
        <v>1183</v>
      </c>
      <c r="B87" s="637"/>
      <c r="C87" s="637"/>
      <c r="D87" s="637"/>
      <c r="E87" s="637"/>
      <c r="F87" s="637"/>
      <c r="G87" s="637"/>
      <c r="H87" s="637"/>
      <c r="I87" s="637"/>
      <c r="J87" s="637"/>
    </row>
    <row r="88" spans="1:10" x14ac:dyDescent="0.2">
      <c r="A88" s="641" t="s">
        <v>1184</v>
      </c>
      <c r="B88" s="637"/>
      <c r="C88" s="637"/>
      <c r="D88" s="637"/>
      <c r="E88" s="637"/>
      <c r="F88" s="637"/>
      <c r="G88" s="637"/>
      <c r="H88" s="637"/>
      <c r="I88" s="637"/>
      <c r="J88" s="637"/>
    </row>
    <row r="89" spans="1:10" x14ac:dyDescent="0.2">
      <c r="A89" s="641" t="s">
        <v>402</v>
      </c>
      <c r="B89" s="637"/>
      <c r="C89" s="637"/>
      <c r="D89" s="637"/>
      <c r="E89" s="637"/>
      <c r="F89" s="637"/>
      <c r="G89" s="637"/>
      <c r="H89" s="637"/>
      <c r="I89" s="637"/>
      <c r="J89" s="637"/>
    </row>
    <row r="90" spans="1:10" x14ac:dyDescent="0.2">
      <c r="A90" s="641" t="s">
        <v>1185</v>
      </c>
      <c r="B90" s="637">
        <v>35433419.200000003</v>
      </c>
      <c r="C90" s="637">
        <v>12667000</v>
      </c>
      <c r="D90" s="637">
        <v>26567000</v>
      </c>
      <c r="E90" s="637"/>
      <c r="F90" s="637">
        <v>11509806.369999999</v>
      </c>
      <c r="G90" s="637">
        <v>18065331.5</v>
      </c>
      <c r="H90" s="637">
        <v>6555525.1299999999</v>
      </c>
      <c r="I90" s="637">
        <v>36.287876200887901</v>
      </c>
      <c r="J90" s="637">
        <v>26567000</v>
      </c>
    </row>
    <row r="91" spans="1:10" x14ac:dyDescent="0.2">
      <c r="A91" s="641" t="s">
        <v>401</v>
      </c>
      <c r="B91" s="637"/>
      <c r="C91" s="637"/>
      <c r="D91" s="637"/>
      <c r="E91" s="637"/>
      <c r="F91" s="637"/>
      <c r="G91" s="637"/>
      <c r="H91" s="637"/>
      <c r="I91" s="637"/>
      <c r="J91" s="637"/>
    </row>
    <row r="92" spans="1:10" x14ac:dyDescent="0.2">
      <c r="A92" s="641" t="s">
        <v>1186</v>
      </c>
      <c r="B92" s="637"/>
      <c r="C92" s="637">
        <v>19500000</v>
      </c>
      <c r="D92" s="637">
        <v>19500000</v>
      </c>
      <c r="E92" s="637"/>
      <c r="F92" s="637"/>
      <c r="G92" s="637"/>
      <c r="H92" s="637"/>
      <c r="I92" s="637"/>
      <c r="J92" s="637">
        <v>19500000</v>
      </c>
    </row>
    <row r="93" spans="1:10" x14ac:dyDescent="0.2">
      <c r="A93" s="641" t="s">
        <v>1187</v>
      </c>
      <c r="B93" s="637"/>
      <c r="C93" s="637"/>
      <c r="D93" s="637"/>
      <c r="E93" s="637"/>
      <c r="F93" s="637"/>
      <c r="G93" s="637"/>
      <c r="H93" s="637"/>
      <c r="I93" s="637"/>
      <c r="J93" s="637"/>
    </row>
    <row r="94" spans="1:10" x14ac:dyDescent="0.2">
      <c r="A94" s="641" t="s">
        <v>1122</v>
      </c>
      <c r="B94" s="637"/>
      <c r="C94" s="637"/>
      <c r="D94" s="637"/>
      <c r="E94" s="637"/>
      <c r="F94" s="637"/>
      <c r="G94" s="637"/>
      <c r="H94" s="637"/>
      <c r="I94" s="637"/>
      <c r="J94" s="637"/>
    </row>
    <row r="95" spans="1:10" x14ac:dyDescent="0.2">
      <c r="A95" s="640" t="s">
        <v>1188</v>
      </c>
      <c r="B95" s="637">
        <v>31463494.34</v>
      </c>
      <c r="C95" s="637">
        <v>12628000</v>
      </c>
      <c r="D95" s="637">
        <v>12628000</v>
      </c>
      <c r="E95" s="637"/>
      <c r="F95" s="637">
        <v>10383379.810000001</v>
      </c>
      <c r="G95" s="637">
        <v>7628000</v>
      </c>
      <c r="H95" s="637">
        <v>-2755379.81</v>
      </c>
      <c r="I95" s="637">
        <v>-36.121916754064003</v>
      </c>
      <c r="J95" s="637">
        <v>12628000</v>
      </c>
    </row>
    <row r="96" spans="1:10" x14ac:dyDescent="0.2">
      <c r="A96" s="641" t="s">
        <v>1189</v>
      </c>
      <c r="B96" s="637"/>
      <c r="C96" s="637"/>
      <c r="D96" s="637"/>
      <c r="E96" s="637"/>
      <c r="F96" s="637"/>
      <c r="G96" s="637"/>
      <c r="H96" s="637"/>
      <c r="I96" s="637"/>
      <c r="J96" s="637"/>
    </row>
    <row r="97" spans="1:10" x14ac:dyDescent="0.2">
      <c r="A97" s="641" t="s">
        <v>1190</v>
      </c>
      <c r="B97" s="637">
        <v>31463494.34</v>
      </c>
      <c r="C97" s="637">
        <v>12628000</v>
      </c>
      <c r="D97" s="637">
        <v>12628000</v>
      </c>
      <c r="E97" s="637"/>
      <c r="F97" s="637">
        <v>10383379.810000001</v>
      </c>
      <c r="G97" s="637">
        <v>7628000</v>
      </c>
      <c r="H97" s="637">
        <v>-2755379.81</v>
      </c>
      <c r="I97" s="637">
        <v>-36.121916754064003</v>
      </c>
      <c r="J97" s="637">
        <v>12628000</v>
      </c>
    </row>
    <row r="98" spans="1:10" x14ac:dyDescent="0.2">
      <c r="A98" s="641" t="s">
        <v>1122</v>
      </c>
      <c r="B98" s="637"/>
      <c r="C98" s="637"/>
      <c r="D98" s="637"/>
      <c r="E98" s="637"/>
      <c r="F98" s="637"/>
      <c r="G98" s="637"/>
      <c r="H98" s="637"/>
      <c r="I98" s="637"/>
      <c r="J98" s="637"/>
    </row>
    <row r="99" spans="1:10" x14ac:dyDescent="0.2">
      <c r="A99" s="639" t="s">
        <v>618</v>
      </c>
      <c r="B99" s="637"/>
      <c r="C99" s="637"/>
      <c r="D99" s="637"/>
      <c r="E99" s="637"/>
      <c r="F99" s="637"/>
      <c r="G99" s="637"/>
      <c r="H99" s="637"/>
      <c r="I99" s="637"/>
      <c r="J99" s="637"/>
    </row>
    <row r="100" spans="1:10" x14ac:dyDescent="0.2">
      <c r="A100" s="640" t="s">
        <v>1192</v>
      </c>
      <c r="B100" s="637"/>
      <c r="C100" s="637"/>
      <c r="D100" s="637"/>
      <c r="E100" s="637"/>
      <c r="F100" s="637"/>
      <c r="G100" s="637"/>
      <c r="H100" s="637"/>
      <c r="I100" s="637"/>
      <c r="J100" s="637"/>
    </row>
    <row r="101" spans="1:10" x14ac:dyDescent="0.2">
      <c r="A101" s="641" t="s">
        <v>1192</v>
      </c>
      <c r="B101" s="637"/>
      <c r="C101" s="637"/>
      <c r="D101" s="637"/>
      <c r="E101" s="637"/>
      <c r="F101" s="637"/>
      <c r="G101" s="637"/>
      <c r="H101" s="637"/>
      <c r="I101" s="637"/>
      <c r="J101" s="637"/>
    </row>
    <row r="102" spans="1:10" x14ac:dyDescent="0.2">
      <c r="A102" s="640" t="s">
        <v>1193</v>
      </c>
      <c r="B102" s="637"/>
      <c r="C102" s="637"/>
      <c r="D102" s="637"/>
      <c r="E102" s="637"/>
      <c r="F102" s="637"/>
      <c r="G102" s="637"/>
      <c r="H102" s="637"/>
      <c r="I102" s="637"/>
      <c r="J102" s="637"/>
    </row>
    <row r="103" spans="1:10" x14ac:dyDescent="0.2">
      <c r="A103" s="641" t="s">
        <v>1193</v>
      </c>
      <c r="B103" s="637"/>
      <c r="C103" s="637"/>
      <c r="D103" s="637"/>
      <c r="E103" s="637"/>
      <c r="F103" s="637"/>
      <c r="G103" s="637"/>
      <c r="H103" s="637"/>
      <c r="I103" s="637"/>
      <c r="J103" s="637"/>
    </row>
    <row r="104" spans="1:10" x14ac:dyDescent="0.2">
      <c r="A104" s="640" t="s">
        <v>1194</v>
      </c>
      <c r="B104" s="637"/>
      <c r="C104" s="637"/>
      <c r="D104" s="637"/>
      <c r="E104" s="637"/>
      <c r="F104" s="637"/>
      <c r="G104" s="637"/>
      <c r="H104" s="637"/>
      <c r="I104" s="637"/>
      <c r="J104" s="637"/>
    </row>
    <row r="105" spans="1:10" x14ac:dyDescent="0.2">
      <c r="A105" s="641" t="s">
        <v>1194</v>
      </c>
      <c r="B105" s="637"/>
      <c r="C105" s="637"/>
      <c r="D105" s="637"/>
      <c r="E105" s="637"/>
      <c r="F105" s="637"/>
      <c r="G105" s="637"/>
      <c r="H105" s="637"/>
      <c r="I105" s="637"/>
      <c r="J105" s="637"/>
    </row>
    <row r="106" spans="1:10" x14ac:dyDescent="0.2">
      <c r="A106" s="640" t="s">
        <v>1195</v>
      </c>
      <c r="B106" s="637"/>
      <c r="C106" s="637"/>
      <c r="D106" s="637"/>
      <c r="E106" s="637"/>
      <c r="F106" s="637"/>
      <c r="G106" s="637"/>
      <c r="H106" s="637"/>
      <c r="I106" s="637"/>
      <c r="J106" s="637"/>
    </row>
    <row r="107" spans="1:10" x14ac:dyDescent="0.2">
      <c r="A107" s="641" t="s">
        <v>1195</v>
      </c>
      <c r="B107" s="637"/>
      <c r="C107" s="637"/>
      <c r="D107" s="637"/>
      <c r="E107" s="637"/>
      <c r="F107" s="637"/>
      <c r="G107" s="637"/>
      <c r="H107" s="637"/>
      <c r="I107" s="637"/>
      <c r="J107" s="637"/>
    </row>
    <row r="108" spans="1:10" x14ac:dyDescent="0.2">
      <c r="A108" s="640" t="s">
        <v>1196</v>
      </c>
      <c r="B108" s="637"/>
      <c r="C108" s="637"/>
      <c r="D108" s="637"/>
      <c r="E108" s="637"/>
      <c r="F108" s="637"/>
      <c r="G108" s="637"/>
      <c r="H108" s="637"/>
      <c r="I108" s="637"/>
      <c r="J108" s="637"/>
    </row>
    <row r="109" spans="1:10" x14ac:dyDescent="0.2">
      <c r="A109" s="641" t="s">
        <v>1196</v>
      </c>
      <c r="B109" s="637"/>
      <c r="C109" s="637"/>
      <c r="D109" s="637"/>
      <c r="E109" s="637"/>
      <c r="F109" s="637"/>
      <c r="G109" s="637"/>
      <c r="H109" s="637"/>
      <c r="I109" s="637"/>
      <c r="J109" s="637"/>
    </row>
    <row r="110" spans="1:10" x14ac:dyDescent="0.2">
      <c r="A110" s="639" t="s">
        <v>619</v>
      </c>
      <c r="B110" s="637">
        <v>7541705.4500000002</v>
      </c>
      <c r="C110" s="637">
        <v>8400000</v>
      </c>
      <c r="D110" s="637">
        <v>8400000</v>
      </c>
      <c r="E110" s="637"/>
      <c r="F110" s="637">
        <v>10226024</v>
      </c>
      <c r="G110" s="637">
        <v>10880087</v>
      </c>
      <c r="H110" s="637">
        <v>654063</v>
      </c>
      <c r="I110" s="637">
        <v>6.0115603855005899</v>
      </c>
      <c r="J110" s="637">
        <v>8400000</v>
      </c>
    </row>
    <row r="111" spans="1:10" x14ac:dyDescent="0.2">
      <c r="A111" s="640" t="s">
        <v>1197</v>
      </c>
      <c r="B111" s="637"/>
      <c r="C111" s="637"/>
      <c r="D111" s="637"/>
      <c r="E111" s="637"/>
      <c r="F111" s="637"/>
      <c r="G111" s="637"/>
      <c r="H111" s="637"/>
      <c r="I111" s="637"/>
      <c r="J111" s="637"/>
    </row>
    <row r="112" spans="1:10" x14ac:dyDescent="0.2">
      <c r="A112" s="641" t="s">
        <v>1198</v>
      </c>
      <c r="B112" s="637"/>
      <c r="C112" s="637"/>
      <c r="D112" s="637"/>
      <c r="E112" s="637"/>
      <c r="F112" s="637"/>
      <c r="G112" s="637"/>
      <c r="H112" s="637"/>
      <c r="I112" s="637"/>
      <c r="J112" s="637"/>
    </row>
    <row r="113" spans="1:10" x14ac:dyDescent="0.2">
      <c r="A113" s="641" t="s">
        <v>1199</v>
      </c>
      <c r="B113" s="637"/>
      <c r="C113" s="637"/>
      <c r="D113" s="637"/>
      <c r="E113" s="637"/>
      <c r="F113" s="637"/>
      <c r="G113" s="637"/>
      <c r="H113" s="637"/>
      <c r="I113" s="637"/>
      <c r="J113" s="637"/>
    </row>
    <row r="114" spans="1:10" x14ac:dyDescent="0.2">
      <c r="A114" s="640" t="s">
        <v>1200</v>
      </c>
      <c r="B114" s="637">
        <v>7541705.4500000002</v>
      </c>
      <c r="C114" s="637">
        <v>8400000</v>
      </c>
      <c r="D114" s="637">
        <v>8400000</v>
      </c>
      <c r="E114" s="637"/>
      <c r="F114" s="637">
        <v>10226024</v>
      </c>
      <c r="G114" s="637">
        <v>10880087</v>
      </c>
      <c r="H114" s="637">
        <v>654063</v>
      </c>
      <c r="I114" s="637">
        <v>6.0115603855005899</v>
      </c>
      <c r="J114" s="637">
        <v>8400000</v>
      </c>
    </row>
    <row r="115" spans="1:10" x14ac:dyDescent="0.2">
      <c r="A115" s="641" t="s">
        <v>1198</v>
      </c>
      <c r="B115" s="637">
        <v>7541705.4500000002</v>
      </c>
      <c r="C115" s="637">
        <v>8400000</v>
      </c>
      <c r="D115" s="637">
        <v>8400000</v>
      </c>
      <c r="E115" s="637"/>
      <c r="F115" s="637">
        <v>10226024</v>
      </c>
      <c r="G115" s="637">
        <v>10880087</v>
      </c>
      <c r="H115" s="637">
        <v>654063</v>
      </c>
      <c r="I115" s="637">
        <v>6.0115603855005899</v>
      </c>
      <c r="J115" s="637">
        <v>8400000</v>
      </c>
    </row>
    <row r="116" spans="1:10" x14ac:dyDescent="0.2">
      <c r="A116" s="641" t="s">
        <v>1199</v>
      </c>
      <c r="B116" s="637"/>
      <c r="C116" s="637"/>
      <c r="D116" s="637"/>
      <c r="E116" s="637"/>
      <c r="F116" s="637"/>
      <c r="G116" s="637"/>
      <c r="H116" s="637"/>
      <c r="I116" s="637"/>
      <c r="J116" s="637"/>
    </row>
    <row r="117" spans="1:10" x14ac:dyDescent="0.2">
      <c r="A117" s="639" t="s">
        <v>620</v>
      </c>
      <c r="B117" s="637">
        <v>4190166.65</v>
      </c>
      <c r="C117" s="637">
        <v>2829000</v>
      </c>
      <c r="D117" s="637">
        <v>6729000</v>
      </c>
      <c r="E117" s="637">
        <v>104017.09</v>
      </c>
      <c r="F117" s="637">
        <v>2358917.09</v>
      </c>
      <c r="G117" s="637">
        <v>4400000</v>
      </c>
      <c r="H117" s="637">
        <v>2041082.91</v>
      </c>
      <c r="I117" s="637">
        <v>46.388247954545498</v>
      </c>
      <c r="J117" s="637">
        <v>6729000</v>
      </c>
    </row>
    <row r="118" spans="1:10" x14ac:dyDescent="0.2">
      <c r="A118" s="640" t="s">
        <v>1201</v>
      </c>
      <c r="B118" s="637">
        <v>4190166.65</v>
      </c>
      <c r="C118" s="637">
        <v>2829000</v>
      </c>
      <c r="D118" s="637">
        <v>6729000</v>
      </c>
      <c r="E118" s="637">
        <v>104017.09</v>
      </c>
      <c r="F118" s="637">
        <v>2358917.09</v>
      </c>
      <c r="G118" s="637">
        <v>4400000</v>
      </c>
      <c r="H118" s="637">
        <v>2041082.91</v>
      </c>
      <c r="I118" s="637">
        <v>46.388247954545498</v>
      </c>
      <c r="J118" s="637">
        <v>6729000</v>
      </c>
    </row>
    <row r="119" spans="1:10" x14ac:dyDescent="0.2">
      <c r="A119" s="641" t="s">
        <v>1202</v>
      </c>
      <c r="B119" s="637">
        <v>4190166.65</v>
      </c>
      <c r="C119" s="637">
        <v>2829000</v>
      </c>
      <c r="D119" s="637">
        <v>6729000</v>
      </c>
      <c r="E119" s="637">
        <v>104017.09</v>
      </c>
      <c r="F119" s="637">
        <v>2358917.09</v>
      </c>
      <c r="G119" s="637">
        <v>4400000</v>
      </c>
      <c r="H119" s="637">
        <v>2041082.91</v>
      </c>
      <c r="I119" s="637">
        <v>46.388247954545498</v>
      </c>
      <c r="J119" s="637">
        <v>6729000</v>
      </c>
    </row>
    <row r="120" spans="1:10" x14ac:dyDescent="0.2">
      <c r="A120" s="641" t="s">
        <v>1203</v>
      </c>
      <c r="B120" s="637"/>
      <c r="C120" s="637"/>
      <c r="D120" s="637"/>
      <c r="E120" s="637"/>
      <c r="F120" s="637"/>
      <c r="G120" s="637"/>
      <c r="H120" s="637"/>
      <c r="I120" s="637"/>
      <c r="J120" s="637"/>
    </row>
    <row r="121" spans="1:10" x14ac:dyDescent="0.2">
      <c r="A121" s="641" t="s">
        <v>1204</v>
      </c>
      <c r="B121" s="637"/>
      <c r="C121" s="637"/>
      <c r="D121" s="637"/>
      <c r="E121" s="637"/>
      <c r="F121" s="637"/>
      <c r="G121" s="637"/>
      <c r="H121" s="637"/>
      <c r="I121" s="637"/>
      <c r="J121" s="637"/>
    </row>
    <row r="122" spans="1:10" x14ac:dyDescent="0.2">
      <c r="A122" s="641" t="s">
        <v>1205</v>
      </c>
      <c r="B122" s="637"/>
      <c r="C122" s="637"/>
      <c r="D122" s="637"/>
      <c r="E122" s="637"/>
      <c r="F122" s="637"/>
      <c r="G122" s="637"/>
      <c r="H122" s="637"/>
      <c r="I122" s="637"/>
      <c r="J122" s="637"/>
    </row>
    <row r="123" spans="1:10" x14ac:dyDescent="0.2">
      <c r="A123" s="641" t="s">
        <v>1206</v>
      </c>
      <c r="B123" s="637"/>
      <c r="C123" s="637"/>
      <c r="D123" s="637"/>
      <c r="E123" s="637"/>
      <c r="F123" s="637"/>
      <c r="G123" s="637"/>
      <c r="H123" s="637"/>
      <c r="I123" s="637"/>
      <c r="J123" s="637"/>
    </row>
    <row r="124" spans="1:10" x14ac:dyDescent="0.2">
      <c r="A124" s="641" t="s">
        <v>1207</v>
      </c>
      <c r="B124" s="637"/>
      <c r="C124" s="637"/>
      <c r="D124" s="637"/>
      <c r="E124" s="637"/>
      <c r="F124" s="637"/>
      <c r="G124" s="637"/>
      <c r="H124" s="637"/>
      <c r="I124" s="637"/>
      <c r="J124" s="637"/>
    </row>
    <row r="125" spans="1:10" x14ac:dyDescent="0.2">
      <c r="A125" s="641" t="s">
        <v>1208</v>
      </c>
      <c r="B125" s="637"/>
      <c r="C125" s="637"/>
      <c r="D125" s="637"/>
      <c r="E125" s="637"/>
      <c r="F125" s="637"/>
      <c r="G125" s="637"/>
      <c r="H125" s="637"/>
      <c r="I125" s="637"/>
      <c r="J125" s="637"/>
    </row>
    <row r="126" spans="1:10" x14ac:dyDescent="0.2">
      <c r="A126" s="641" t="s">
        <v>1209</v>
      </c>
      <c r="B126" s="637"/>
      <c r="C126" s="637"/>
      <c r="D126" s="637"/>
      <c r="E126" s="637"/>
      <c r="F126" s="637"/>
      <c r="G126" s="637"/>
      <c r="H126" s="637"/>
      <c r="I126" s="637"/>
      <c r="J126" s="637"/>
    </row>
    <row r="127" spans="1:10" x14ac:dyDescent="0.2">
      <c r="A127" s="641" t="s">
        <v>1210</v>
      </c>
      <c r="B127" s="637"/>
      <c r="C127" s="637"/>
      <c r="D127" s="637"/>
      <c r="E127" s="637"/>
      <c r="F127" s="637"/>
      <c r="G127" s="637"/>
      <c r="H127" s="637"/>
      <c r="I127" s="637"/>
      <c r="J127" s="637"/>
    </row>
    <row r="128" spans="1:10" x14ac:dyDescent="0.2">
      <c r="A128" s="641" t="s">
        <v>1211</v>
      </c>
      <c r="B128" s="637"/>
      <c r="C128" s="637"/>
      <c r="D128" s="637"/>
      <c r="E128" s="637"/>
      <c r="F128" s="637"/>
      <c r="G128" s="637"/>
      <c r="H128" s="637"/>
      <c r="I128" s="637"/>
      <c r="J128" s="637"/>
    </row>
    <row r="129" spans="1:10" x14ac:dyDescent="0.2">
      <c r="A129" s="641" t="s">
        <v>1122</v>
      </c>
      <c r="B129" s="637"/>
      <c r="C129" s="637"/>
      <c r="D129" s="637"/>
      <c r="E129" s="637"/>
      <c r="F129" s="637"/>
      <c r="G129" s="637"/>
      <c r="H129" s="637"/>
      <c r="I129" s="637"/>
      <c r="J129" s="637"/>
    </row>
    <row r="130" spans="1:10" x14ac:dyDescent="0.2">
      <c r="A130" s="640" t="s">
        <v>659</v>
      </c>
      <c r="B130" s="637"/>
      <c r="C130" s="637"/>
      <c r="D130" s="637"/>
      <c r="E130" s="637"/>
      <c r="F130" s="637"/>
      <c r="G130" s="637"/>
      <c r="H130" s="637"/>
      <c r="I130" s="637"/>
      <c r="J130" s="637"/>
    </row>
    <row r="131" spans="1:10" x14ac:dyDescent="0.2">
      <c r="A131" s="641" t="s">
        <v>1212</v>
      </c>
      <c r="B131" s="637"/>
      <c r="C131" s="637"/>
      <c r="D131" s="637"/>
      <c r="E131" s="637"/>
      <c r="F131" s="637"/>
      <c r="G131" s="637"/>
      <c r="H131" s="637"/>
      <c r="I131" s="637"/>
      <c r="J131" s="637"/>
    </row>
    <row r="132" spans="1:10" x14ac:dyDescent="0.2">
      <c r="A132" s="641" t="s">
        <v>1213</v>
      </c>
      <c r="B132" s="637"/>
      <c r="C132" s="637"/>
      <c r="D132" s="637"/>
      <c r="E132" s="637"/>
      <c r="F132" s="637"/>
      <c r="G132" s="637"/>
      <c r="H132" s="637"/>
      <c r="I132" s="637"/>
      <c r="J132" s="637"/>
    </row>
    <row r="133" spans="1:10" x14ac:dyDescent="0.2">
      <c r="A133" s="641" t="s">
        <v>1122</v>
      </c>
      <c r="B133" s="637"/>
      <c r="C133" s="637"/>
      <c r="D133" s="637"/>
      <c r="E133" s="637"/>
      <c r="F133" s="637"/>
      <c r="G133" s="637"/>
      <c r="H133" s="637"/>
      <c r="I133" s="637"/>
      <c r="J133" s="637"/>
    </row>
    <row r="134" spans="1:10" x14ac:dyDescent="0.2">
      <c r="A134" s="639" t="s">
        <v>1214</v>
      </c>
      <c r="B134" s="637"/>
      <c r="C134" s="637"/>
      <c r="D134" s="637"/>
      <c r="E134" s="637"/>
      <c r="F134" s="637"/>
      <c r="G134" s="637"/>
      <c r="H134" s="637"/>
      <c r="I134" s="637"/>
      <c r="J134" s="637"/>
    </row>
    <row r="135" spans="1:10" x14ac:dyDescent="0.2">
      <c r="A135" s="640" t="s">
        <v>1214</v>
      </c>
      <c r="B135" s="637"/>
      <c r="C135" s="637"/>
      <c r="D135" s="637"/>
      <c r="E135" s="637"/>
      <c r="F135" s="637"/>
      <c r="G135" s="637"/>
      <c r="H135" s="637"/>
      <c r="I135" s="637"/>
      <c r="J135" s="637"/>
    </row>
    <row r="136" spans="1:10" x14ac:dyDescent="0.2">
      <c r="A136" s="641" t="s">
        <v>1214</v>
      </c>
      <c r="B136" s="637"/>
      <c r="C136" s="637"/>
      <c r="D136" s="637"/>
      <c r="E136" s="637"/>
      <c r="F136" s="637"/>
      <c r="G136" s="637"/>
      <c r="H136" s="637"/>
      <c r="I136" s="637"/>
      <c r="J136" s="637"/>
    </row>
    <row r="137" spans="1:10" x14ac:dyDescent="0.2">
      <c r="A137" s="639" t="s">
        <v>1215</v>
      </c>
      <c r="B137" s="637">
        <v>162800</v>
      </c>
      <c r="C137" s="637">
        <v>17140000</v>
      </c>
      <c r="D137" s="637">
        <v>17140000</v>
      </c>
      <c r="E137" s="637"/>
      <c r="F137" s="637">
        <v>0</v>
      </c>
      <c r="G137" s="637">
        <v>8500000</v>
      </c>
      <c r="H137" s="637">
        <v>8500000</v>
      </c>
      <c r="I137" s="637">
        <v>100</v>
      </c>
      <c r="J137" s="637">
        <v>17140000</v>
      </c>
    </row>
    <row r="138" spans="1:10" x14ac:dyDescent="0.2">
      <c r="A138" s="640" t="s">
        <v>1216</v>
      </c>
      <c r="B138" s="637"/>
      <c r="C138" s="637"/>
      <c r="D138" s="637"/>
      <c r="E138" s="637"/>
      <c r="F138" s="637"/>
      <c r="G138" s="637"/>
      <c r="H138" s="637"/>
      <c r="I138" s="637"/>
      <c r="J138" s="637"/>
    </row>
    <row r="139" spans="1:10" x14ac:dyDescent="0.2">
      <c r="A139" s="641" t="s">
        <v>1216</v>
      </c>
      <c r="B139" s="637"/>
      <c r="C139" s="637"/>
      <c r="D139" s="637"/>
      <c r="E139" s="637"/>
      <c r="F139" s="637"/>
      <c r="G139" s="637"/>
      <c r="H139" s="637"/>
      <c r="I139" s="637"/>
      <c r="J139" s="637"/>
    </row>
    <row r="140" spans="1:10" x14ac:dyDescent="0.2">
      <c r="A140" s="640" t="s">
        <v>1217</v>
      </c>
      <c r="B140" s="637">
        <v>162800</v>
      </c>
      <c r="C140" s="637">
        <v>17140000</v>
      </c>
      <c r="D140" s="637">
        <v>17140000</v>
      </c>
      <c r="E140" s="637"/>
      <c r="F140" s="637">
        <v>0</v>
      </c>
      <c r="G140" s="637">
        <v>8500000</v>
      </c>
      <c r="H140" s="637">
        <v>8500000</v>
      </c>
      <c r="I140" s="637">
        <v>100</v>
      </c>
      <c r="J140" s="637">
        <v>17140000</v>
      </c>
    </row>
    <row r="141" spans="1:10" x14ac:dyDescent="0.2">
      <c r="A141" s="641" t="s">
        <v>1218</v>
      </c>
      <c r="B141" s="637"/>
      <c r="C141" s="637"/>
      <c r="D141" s="637"/>
      <c r="E141" s="637"/>
      <c r="F141" s="637"/>
      <c r="G141" s="637"/>
      <c r="H141" s="637"/>
      <c r="I141" s="637"/>
      <c r="J141" s="637"/>
    </row>
    <row r="142" spans="1:10" x14ac:dyDescent="0.2">
      <c r="A142" s="641" t="s">
        <v>1219</v>
      </c>
      <c r="B142" s="637"/>
      <c r="C142" s="637"/>
      <c r="D142" s="637"/>
      <c r="E142" s="637"/>
      <c r="F142" s="637"/>
      <c r="G142" s="637"/>
      <c r="H142" s="637"/>
      <c r="I142" s="637"/>
      <c r="J142" s="637"/>
    </row>
    <row r="143" spans="1:10" x14ac:dyDescent="0.2">
      <c r="A143" s="641" t="s">
        <v>1220</v>
      </c>
      <c r="B143" s="637"/>
      <c r="C143" s="637"/>
      <c r="D143" s="637"/>
      <c r="E143" s="637"/>
      <c r="F143" s="637"/>
      <c r="G143" s="637"/>
      <c r="H143" s="637"/>
      <c r="I143" s="637"/>
      <c r="J143" s="637"/>
    </row>
    <row r="144" spans="1:10" x14ac:dyDescent="0.2">
      <c r="A144" s="641" t="s">
        <v>1221</v>
      </c>
      <c r="B144" s="637">
        <v>162800</v>
      </c>
      <c r="C144" s="637">
        <v>17140000</v>
      </c>
      <c r="D144" s="637">
        <v>17140000</v>
      </c>
      <c r="E144" s="637"/>
      <c r="F144" s="637">
        <v>0</v>
      </c>
      <c r="G144" s="637">
        <v>8500000</v>
      </c>
      <c r="H144" s="637">
        <v>8500000</v>
      </c>
      <c r="I144" s="637">
        <v>100</v>
      </c>
      <c r="J144" s="637">
        <v>17140000</v>
      </c>
    </row>
    <row r="145" spans="1:10" x14ac:dyDescent="0.2">
      <c r="A145" s="641" t="s">
        <v>1222</v>
      </c>
      <c r="B145" s="637"/>
      <c r="C145" s="637"/>
      <c r="D145" s="637"/>
      <c r="E145" s="637"/>
      <c r="F145" s="637"/>
      <c r="G145" s="637"/>
      <c r="H145" s="637"/>
      <c r="I145" s="637"/>
      <c r="J145" s="637"/>
    </row>
    <row r="146" spans="1:10" x14ac:dyDescent="0.2">
      <c r="A146" s="641" t="s">
        <v>1223</v>
      </c>
      <c r="B146" s="637"/>
      <c r="C146" s="637"/>
      <c r="D146" s="637"/>
      <c r="E146" s="637"/>
      <c r="F146" s="637"/>
      <c r="G146" s="637"/>
      <c r="H146" s="637"/>
      <c r="I146" s="637"/>
      <c r="J146" s="637"/>
    </row>
    <row r="147" spans="1:10" x14ac:dyDescent="0.2">
      <c r="A147" s="639" t="s">
        <v>1224</v>
      </c>
      <c r="B147" s="637">
        <v>2004972.62</v>
      </c>
      <c r="C147" s="637">
        <v>4765200</v>
      </c>
      <c r="D147" s="637">
        <v>4954300</v>
      </c>
      <c r="E147" s="637">
        <v>56129.06</v>
      </c>
      <c r="F147" s="637">
        <v>372583.35</v>
      </c>
      <c r="G147" s="637">
        <v>3198600</v>
      </c>
      <c r="H147" s="637">
        <v>2826016.65</v>
      </c>
      <c r="I147" s="637">
        <v>88.351674169949405</v>
      </c>
      <c r="J147" s="637">
        <v>4954300</v>
      </c>
    </row>
    <row r="148" spans="1:10" x14ac:dyDescent="0.2">
      <c r="A148" s="640" t="s">
        <v>1224</v>
      </c>
      <c r="B148" s="637">
        <v>2004972.62</v>
      </c>
      <c r="C148" s="637">
        <v>4765200</v>
      </c>
      <c r="D148" s="637">
        <v>4954300</v>
      </c>
      <c r="E148" s="637">
        <v>56129.06</v>
      </c>
      <c r="F148" s="637">
        <v>372583.35</v>
      </c>
      <c r="G148" s="637">
        <v>3198600</v>
      </c>
      <c r="H148" s="637">
        <v>2826016.65</v>
      </c>
      <c r="I148" s="637">
        <v>88.351674169949405</v>
      </c>
      <c r="J148" s="637">
        <v>4954300</v>
      </c>
    </row>
    <row r="149" spans="1:10" x14ac:dyDescent="0.2">
      <c r="A149" s="641" t="s">
        <v>1224</v>
      </c>
      <c r="B149" s="637">
        <v>2004972.62</v>
      </c>
      <c r="C149" s="637">
        <v>4765200</v>
      </c>
      <c r="D149" s="637">
        <v>4954300</v>
      </c>
      <c r="E149" s="637">
        <v>56129.06</v>
      </c>
      <c r="F149" s="637">
        <v>372583.35</v>
      </c>
      <c r="G149" s="637">
        <v>3198600</v>
      </c>
      <c r="H149" s="637">
        <v>2826016.65</v>
      </c>
      <c r="I149" s="637">
        <v>88.351674169949405</v>
      </c>
      <c r="J149" s="637">
        <v>4954300</v>
      </c>
    </row>
    <row r="150" spans="1:10" x14ac:dyDescent="0.2">
      <c r="A150" s="639" t="s">
        <v>1225</v>
      </c>
      <c r="B150" s="637">
        <v>743315.16</v>
      </c>
      <c r="C150" s="637">
        <v>918500</v>
      </c>
      <c r="D150" s="637">
        <v>770700</v>
      </c>
      <c r="E150" s="637"/>
      <c r="F150" s="637">
        <v>91724.91</v>
      </c>
      <c r="G150" s="637">
        <v>417245.91</v>
      </c>
      <c r="H150" s="637">
        <v>325521</v>
      </c>
      <c r="I150" s="637">
        <v>78.0165825951416</v>
      </c>
      <c r="J150" s="637">
        <v>770700</v>
      </c>
    </row>
    <row r="151" spans="1:10" x14ac:dyDescent="0.2">
      <c r="A151" s="640" t="s">
        <v>1225</v>
      </c>
      <c r="B151" s="637">
        <v>743315.16</v>
      </c>
      <c r="C151" s="637">
        <v>918500</v>
      </c>
      <c r="D151" s="637">
        <v>770700</v>
      </c>
      <c r="E151" s="637"/>
      <c r="F151" s="637">
        <v>91724.91</v>
      </c>
      <c r="G151" s="637">
        <v>417245.91</v>
      </c>
      <c r="H151" s="637">
        <v>325521</v>
      </c>
      <c r="I151" s="637">
        <v>78.0165825951416</v>
      </c>
      <c r="J151" s="637">
        <v>770700</v>
      </c>
    </row>
    <row r="152" spans="1:10" x14ac:dyDescent="0.2">
      <c r="A152" s="641" t="s">
        <v>1225</v>
      </c>
      <c r="B152" s="637">
        <v>743315.16</v>
      </c>
      <c r="C152" s="637">
        <v>918500</v>
      </c>
      <c r="D152" s="637">
        <v>770700</v>
      </c>
      <c r="E152" s="637"/>
      <c r="F152" s="637">
        <v>91724.91</v>
      </c>
      <c r="G152" s="637">
        <v>417245.91</v>
      </c>
      <c r="H152" s="637">
        <v>325521</v>
      </c>
      <c r="I152" s="637">
        <v>78.0165825951416</v>
      </c>
      <c r="J152" s="637">
        <v>770700</v>
      </c>
    </row>
    <row r="153" spans="1:10" x14ac:dyDescent="0.2">
      <c r="A153" s="639" t="s">
        <v>1226</v>
      </c>
      <c r="B153" s="637">
        <v>9547046.7599999998</v>
      </c>
      <c r="C153" s="637">
        <v>24299500</v>
      </c>
      <c r="D153" s="637">
        <v>19713500</v>
      </c>
      <c r="E153" s="637"/>
      <c r="F153" s="637">
        <v>10802380.560000001</v>
      </c>
      <c r="G153" s="637">
        <v>11635773.5</v>
      </c>
      <c r="H153" s="637">
        <v>833392.94</v>
      </c>
      <c r="I153" s="637">
        <v>7.1623338147653</v>
      </c>
      <c r="J153" s="637">
        <v>19713500</v>
      </c>
    </row>
    <row r="154" spans="1:10" x14ac:dyDescent="0.2">
      <c r="A154" s="640" t="s">
        <v>1226</v>
      </c>
      <c r="B154" s="637">
        <v>9547046.7599999998</v>
      </c>
      <c r="C154" s="637">
        <v>24299500</v>
      </c>
      <c r="D154" s="637">
        <v>19713500</v>
      </c>
      <c r="E154" s="637"/>
      <c r="F154" s="637">
        <v>10802380.560000001</v>
      </c>
      <c r="G154" s="637">
        <v>11635773.5</v>
      </c>
      <c r="H154" s="637">
        <v>833392.94</v>
      </c>
      <c r="I154" s="637">
        <v>7.1623338147653</v>
      </c>
      <c r="J154" s="637">
        <v>19713500</v>
      </c>
    </row>
    <row r="155" spans="1:10" x14ac:dyDescent="0.2">
      <c r="A155" s="641" t="s">
        <v>1226</v>
      </c>
      <c r="B155" s="637">
        <v>9547046.7599999998</v>
      </c>
      <c r="C155" s="637">
        <v>24299500</v>
      </c>
      <c r="D155" s="637">
        <v>19713500</v>
      </c>
      <c r="E155" s="637"/>
      <c r="F155" s="637">
        <v>10802380.560000001</v>
      </c>
      <c r="G155" s="637">
        <v>11635773.5</v>
      </c>
      <c r="H155" s="637">
        <v>833392.94</v>
      </c>
      <c r="I155" s="637">
        <v>7.1623338147653</v>
      </c>
      <c r="J155" s="637">
        <v>19713500</v>
      </c>
    </row>
    <row r="156" spans="1:10" x14ac:dyDescent="0.2">
      <c r="A156" s="639" t="s">
        <v>1227</v>
      </c>
      <c r="B156" s="637">
        <v>3902370.48</v>
      </c>
      <c r="C156" s="637">
        <v>12900000</v>
      </c>
      <c r="D156" s="637">
        <v>14526600</v>
      </c>
      <c r="E156" s="637">
        <v>99087.41</v>
      </c>
      <c r="F156" s="637">
        <v>1463448.54</v>
      </c>
      <c r="G156" s="637">
        <v>4584778.42</v>
      </c>
      <c r="H156" s="637">
        <v>3121329.88</v>
      </c>
      <c r="I156" s="637">
        <v>68.080277694205293</v>
      </c>
      <c r="J156" s="637">
        <v>14526600</v>
      </c>
    </row>
    <row r="157" spans="1:10" x14ac:dyDescent="0.2">
      <c r="A157" s="640" t="s">
        <v>1227</v>
      </c>
      <c r="B157" s="637">
        <v>3902370.48</v>
      </c>
      <c r="C157" s="637">
        <v>12900000</v>
      </c>
      <c r="D157" s="637">
        <v>14526600</v>
      </c>
      <c r="E157" s="637">
        <v>99087.41</v>
      </c>
      <c r="F157" s="637">
        <v>1463448.54</v>
      </c>
      <c r="G157" s="637">
        <v>4584778.42</v>
      </c>
      <c r="H157" s="637">
        <v>3121329.88</v>
      </c>
      <c r="I157" s="637">
        <v>68.080277694205293</v>
      </c>
      <c r="J157" s="637">
        <v>14526600</v>
      </c>
    </row>
    <row r="158" spans="1:10" x14ac:dyDescent="0.2">
      <c r="A158" s="641" t="s">
        <v>1227</v>
      </c>
      <c r="B158" s="637">
        <v>3902370.48</v>
      </c>
      <c r="C158" s="637">
        <v>12900000</v>
      </c>
      <c r="D158" s="637">
        <v>14526600</v>
      </c>
      <c r="E158" s="637">
        <v>99087.41</v>
      </c>
      <c r="F158" s="637">
        <v>1463448.54</v>
      </c>
      <c r="G158" s="637">
        <v>4584778.42</v>
      </c>
      <c r="H158" s="637">
        <v>3121329.88</v>
      </c>
      <c r="I158" s="637">
        <v>68.080277694205293</v>
      </c>
      <c r="J158" s="637">
        <v>14526600</v>
      </c>
    </row>
    <row r="159" spans="1:10" x14ac:dyDescent="0.2">
      <c r="A159" s="639" t="s">
        <v>1235</v>
      </c>
      <c r="B159" s="637"/>
      <c r="C159" s="637"/>
      <c r="D159" s="637"/>
      <c r="E159" s="637"/>
      <c r="F159" s="637"/>
      <c r="G159" s="637"/>
      <c r="H159" s="637"/>
      <c r="I159" s="637"/>
      <c r="J159" s="637"/>
    </row>
    <row r="160" spans="1:10" x14ac:dyDescent="0.2">
      <c r="A160" s="640" t="s">
        <v>1235</v>
      </c>
      <c r="B160" s="637"/>
      <c r="C160" s="637"/>
      <c r="D160" s="637"/>
      <c r="E160" s="637"/>
      <c r="F160" s="637"/>
      <c r="G160" s="637"/>
      <c r="H160" s="637"/>
      <c r="I160" s="637"/>
      <c r="J160" s="637"/>
    </row>
    <row r="161" spans="1:10" x14ac:dyDescent="0.2">
      <c r="A161" s="641" t="s">
        <v>1235</v>
      </c>
      <c r="B161" s="637"/>
      <c r="C161" s="637"/>
      <c r="D161" s="637"/>
      <c r="E161" s="637"/>
      <c r="F161" s="637"/>
      <c r="G161" s="637"/>
      <c r="H161" s="637"/>
      <c r="I161" s="637"/>
      <c r="J161" s="637"/>
    </row>
    <row r="162" spans="1:10" x14ac:dyDescent="0.2">
      <c r="A162" s="639" t="s">
        <v>1228</v>
      </c>
      <c r="B162" s="637"/>
      <c r="C162" s="637"/>
      <c r="D162" s="637"/>
      <c r="E162" s="637"/>
      <c r="F162" s="637"/>
      <c r="G162" s="637"/>
      <c r="H162" s="637"/>
      <c r="I162" s="637"/>
      <c r="J162" s="637"/>
    </row>
    <row r="163" spans="1:10" x14ac:dyDescent="0.2">
      <c r="A163" s="640" t="s">
        <v>1228</v>
      </c>
      <c r="B163" s="637"/>
      <c r="C163" s="637"/>
      <c r="D163" s="637"/>
      <c r="E163" s="637"/>
      <c r="F163" s="637"/>
      <c r="G163" s="637"/>
      <c r="H163" s="637"/>
      <c r="I163" s="637"/>
      <c r="J163" s="637"/>
    </row>
    <row r="164" spans="1:10" x14ac:dyDescent="0.2">
      <c r="A164" s="641" t="s">
        <v>1228</v>
      </c>
      <c r="B164" s="637"/>
      <c r="C164" s="637"/>
      <c r="D164" s="637"/>
      <c r="E164" s="637"/>
      <c r="F164" s="637"/>
      <c r="G164" s="637"/>
      <c r="H164" s="637"/>
      <c r="I164" s="637"/>
      <c r="J164" s="637"/>
    </row>
    <row r="165" spans="1:10" x14ac:dyDescent="0.2">
      <c r="A165" s="638" t="s">
        <v>812</v>
      </c>
      <c r="B165" s="637">
        <v>413407987.20999998</v>
      </c>
      <c r="C165" s="637">
        <v>335491900</v>
      </c>
      <c r="D165" s="637">
        <v>310196000</v>
      </c>
      <c r="E165" s="637">
        <v>8186000.75</v>
      </c>
      <c r="F165" s="637">
        <v>150140254.78</v>
      </c>
      <c r="G165" s="637">
        <v>205572085.16</v>
      </c>
      <c r="H165" s="637">
        <v>55431830.380000003</v>
      </c>
      <c r="I165" s="637">
        <v>848.15120191986296</v>
      </c>
      <c r="J165" s="637">
        <v>310196000</v>
      </c>
    </row>
  </sheetData>
  <pageMargins left="0.7" right="0.7" top="0.75" bottom="0.75" header="0.3" footer="0.3"/>
  <customProperties>
    <customPr name="_pios_id" r:id="rId1"/>
    <customPr name="CofWorksheetType"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K213"/>
  <sheetViews>
    <sheetView showGridLines="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34.28515625" style="21" customWidth="1"/>
    <col min="2" max="2" width="3.28515625" style="47" customWidth="1"/>
    <col min="3" max="8" width="8.7109375" style="21" customWidth="1"/>
    <col min="9"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x14ac:dyDescent="0.25">
      <c r="A1" s="851" t="str">
        <f>muni&amp; " - "&amp;S71Sb&amp; " - "&amp;Head57</f>
        <v>KZN282 uMhlathuze - Supporting Table SC13b Monthly Budget Statement - capital expenditure on renewal of existing assets by asset class - M10 April</v>
      </c>
      <c r="B1" s="851"/>
      <c r="C1" s="851"/>
      <c r="D1" s="851"/>
      <c r="E1" s="851"/>
      <c r="F1" s="851"/>
      <c r="G1" s="851"/>
      <c r="H1" s="851"/>
      <c r="I1" s="851"/>
      <c r="J1" s="851"/>
      <c r="K1" s="851"/>
    </row>
    <row r="2" spans="1:11" x14ac:dyDescent="0.25">
      <c r="A2" s="837" t="str">
        <f>desc</f>
        <v>Description</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47"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519" t="s">
        <v>615</v>
      </c>
      <c r="B4" s="141">
        <v>1</v>
      </c>
      <c r="C4" s="520"/>
      <c r="D4" s="549"/>
      <c r="E4" s="522"/>
      <c r="F4" s="523"/>
      <c r="G4" s="523"/>
      <c r="H4" s="523"/>
      <c r="I4" s="523"/>
      <c r="J4" s="524" t="s">
        <v>528</v>
      </c>
      <c r="K4" s="525"/>
    </row>
    <row r="5" spans="1:11" ht="12.75" customHeight="1" x14ac:dyDescent="0.25">
      <c r="A5" s="92" t="s">
        <v>813</v>
      </c>
      <c r="B5" s="90"/>
      <c r="C5" s="74"/>
      <c r="D5" s="148"/>
      <c r="E5" s="34"/>
      <c r="F5" s="34"/>
      <c r="G5" s="34"/>
      <c r="H5" s="34"/>
      <c r="I5" s="34"/>
      <c r="J5" s="189"/>
      <c r="K5" s="78"/>
    </row>
    <row r="6" spans="1:11" ht="5.0999999999999996" customHeight="1" x14ac:dyDescent="0.25">
      <c r="A6" s="29"/>
      <c r="B6" s="90"/>
      <c r="C6" s="74"/>
      <c r="D6" s="148"/>
      <c r="E6" s="34"/>
      <c r="F6" s="34"/>
      <c r="G6" s="34"/>
      <c r="H6" s="34"/>
      <c r="I6" s="34"/>
      <c r="J6" s="189"/>
      <c r="K6" s="78"/>
    </row>
    <row r="7" spans="1:11" ht="12.75" customHeight="1" x14ac:dyDescent="0.25">
      <c r="A7" s="29" t="s">
        <v>592</v>
      </c>
      <c r="B7" s="90"/>
      <c r="C7" s="69">
        <f t="shared" ref="C7:H7" si="0">C8+C13+C17+C27+C38+C45+C53+C63+C69</f>
        <v>250949285.84000003</v>
      </c>
      <c r="D7" s="39">
        <f t="shared" si="0"/>
        <v>208046300</v>
      </c>
      <c r="E7" s="149">
        <f t="shared" si="0"/>
        <v>229146600</v>
      </c>
      <c r="F7" s="38">
        <f t="shared" si="0"/>
        <v>7418225.1200000001</v>
      </c>
      <c r="G7" s="38">
        <f t="shared" si="0"/>
        <v>191169960.42000002</v>
      </c>
      <c r="H7" s="38">
        <f t="shared" si="0"/>
        <v>220009696.23000002</v>
      </c>
      <c r="I7" s="65">
        <f t="shared" ref="I7:I76" si="1">H7-G7</f>
        <v>28839735.810000002</v>
      </c>
      <c r="J7" s="605">
        <f>IF(H7=0,"",I7/H7)</f>
        <v>0.13108393086389564</v>
      </c>
      <c r="K7" s="96">
        <f>K8+K13+K17+K27+K38+K45+K53+K63+K69</f>
        <v>229146600</v>
      </c>
    </row>
    <row r="8" spans="1:11" ht="12.75" customHeight="1" x14ac:dyDescent="0.25">
      <c r="A8" s="30" t="s">
        <v>1119</v>
      </c>
      <c r="B8" s="90"/>
      <c r="C8" s="596">
        <f t="shared" ref="C8:H8" si="2">SUM(C9:C12)</f>
        <v>32164708.34</v>
      </c>
      <c r="D8" s="597">
        <f t="shared" si="2"/>
        <v>13953000</v>
      </c>
      <c r="E8" s="736">
        <f t="shared" si="2"/>
        <v>34133800</v>
      </c>
      <c r="F8" s="328">
        <f t="shared" si="2"/>
        <v>0</v>
      </c>
      <c r="G8" s="736">
        <f t="shared" si="2"/>
        <v>30540927.219999999</v>
      </c>
      <c r="H8" s="328">
        <f t="shared" si="2"/>
        <v>45227724.869999997</v>
      </c>
      <c r="I8" s="148">
        <f t="shared" si="1"/>
        <v>14686797.649999999</v>
      </c>
      <c r="J8" s="148">
        <f t="shared" ref="J8:J72" si="3">IF(H8=0,"",I8/H8)</f>
        <v>0.32472996800557391</v>
      </c>
      <c r="K8" s="329">
        <f>SUM(K9:K12)</f>
        <v>34133800</v>
      </c>
    </row>
    <row r="9" spans="1:11" ht="12.75" customHeight="1" x14ac:dyDescent="0.25">
      <c r="A9" s="606" t="s">
        <v>150</v>
      </c>
      <c r="B9" s="90"/>
      <c r="C9" s="366">
        <f>SC13BQ!B6</f>
        <v>31933435.960000001</v>
      </c>
      <c r="D9" s="366">
        <f>SC13BQ!C6</f>
        <v>13953000</v>
      </c>
      <c r="E9" s="704">
        <f>SC13BQ!D6</f>
        <v>34133800</v>
      </c>
      <c r="F9" s="331">
        <f>SC13BQ!E6</f>
        <v>0</v>
      </c>
      <c r="G9" s="704">
        <f>SC13BQ!F6</f>
        <v>30540927.219999999</v>
      </c>
      <c r="H9" s="331">
        <f>SC13BQ!G6</f>
        <v>45227724.869999997</v>
      </c>
      <c r="I9" s="148">
        <f t="shared" si="1"/>
        <v>14686797.649999999</v>
      </c>
      <c r="J9" s="34">
        <f t="shared" si="3"/>
        <v>0.32472996800557391</v>
      </c>
      <c r="K9" s="367">
        <f>SC13BQ!J6</f>
        <v>34133800</v>
      </c>
    </row>
    <row r="10" spans="1:11" ht="12.75" customHeight="1" x14ac:dyDescent="0.25">
      <c r="A10" s="606" t="s">
        <v>1120</v>
      </c>
      <c r="B10" s="90"/>
      <c r="C10" s="366">
        <f>SC13BQ!B7</f>
        <v>231272.38</v>
      </c>
      <c r="D10" s="366">
        <f>SC13BQ!C7</f>
        <v>0</v>
      </c>
      <c r="E10" s="704">
        <f>SC13BQ!D7</f>
        <v>0</v>
      </c>
      <c r="F10" s="331">
        <f>SC13BQ!E7</f>
        <v>0</v>
      </c>
      <c r="G10" s="704">
        <f>SC13BQ!F7</f>
        <v>0</v>
      </c>
      <c r="H10" s="331">
        <f>SC13BQ!G7</f>
        <v>0</v>
      </c>
      <c r="I10" s="148">
        <f t="shared" si="1"/>
        <v>0</v>
      </c>
      <c r="J10" s="34" t="str">
        <f t="shared" si="3"/>
        <v/>
      </c>
      <c r="K10" s="367">
        <f>SC13BQ!J7</f>
        <v>0</v>
      </c>
    </row>
    <row r="11" spans="1:11" ht="12.75" customHeight="1" x14ac:dyDescent="0.25">
      <c r="A11" s="606" t="s">
        <v>1121</v>
      </c>
      <c r="B11" s="90"/>
      <c r="C11" s="366">
        <f>SC13BQ!B8</f>
        <v>0</v>
      </c>
      <c r="D11" s="366">
        <f>SC13BQ!C8</f>
        <v>0</v>
      </c>
      <c r="E11" s="704">
        <f>SC13BQ!D8</f>
        <v>0</v>
      </c>
      <c r="F11" s="331">
        <f>SC13BQ!E8</f>
        <v>0</v>
      </c>
      <c r="G11" s="704">
        <f>SC13BQ!F8</f>
        <v>0</v>
      </c>
      <c r="H11" s="331">
        <f>SC13BQ!G8</f>
        <v>0</v>
      </c>
      <c r="I11" s="148">
        <f t="shared" si="1"/>
        <v>0</v>
      </c>
      <c r="J11" s="34" t="str">
        <f t="shared" si="3"/>
        <v/>
      </c>
      <c r="K11" s="367">
        <f>SC13BQ!J8</f>
        <v>0</v>
      </c>
    </row>
    <row r="12" spans="1:11" ht="12.75" customHeight="1" x14ac:dyDescent="0.25">
      <c r="A12" s="606" t="s">
        <v>1122</v>
      </c>
      <c r="B12" s="90"/>
      <c r="C12" s="366">
        <f>SC13BQ!B9</f>
        <v>0</v>
      </c>
      <c r="D12" s="366">
        <f>SC13BQ!C9</f>
        <v>0</v>
      </c>
      <c r="E12" s="704">
        <f>SC13BQ!D9</f>
        <v>0</v>
      </c>
      <c r="F12" s="331">
        <f>SC13BQ!E9</f>
        <v>0</v>
      </c>
      <c r="G12" s="704">
        <f>SC13BQ!F9</f>
        <v>0</v>
      </c>
      <c r="H12" s="331">
        <f>SC13BQ!G9</f>
        <v>0</v>
      </c>
      <c r="I12" s="148">
        <f t="shared" si="1"/>
        <v>0</v>
      </c>
      <c r="J12" s="34" t="str">
        <f t="shared" si="3"/>
        <v/>
      </c>
      <c r="K12" s="367">
        <f>SC13BQ!J9</f>
        <v>0</v>
      </c>
    </row>
    <row r="13" spans="1:11" ht="12.75" customHeight="1" x14ac:dyDescent="0.25">
      <c r="A13" s="30" t="s">
        <v>1123</v>
      </c>
      <c r="B13" s="90"/>
      <c r="C13" s="74">
        <f t="shared" ref="C13:H13" si="4">SUM(C14:C16)</f>
        <v>0</v>
      </c>
      <c r="D13" s="36">
        <f t="shared" si="4"/>
        <v>200000</v>
      </c>
      <c r="E13" s="33">
        <f t="shared" si="4"/>
        <v>200000</v>
      </c>
      <c r="F13" s="34">
        <f t="shared" si="4"/>
        <v>0</v>
      </c>
      <c r="G13" s="33">
        <f t="shared" si="4"/>
        <v>200000</v>
      </c>
      <c r="H13" s="34">
        <f t="shared" si="4"/>
        <v>200000</v>
      </c>
      <c r="I13" s="148">
        <f t="shared" si="1"/>
        <v>0</v>
      </c>
      <c r="J13" s="34">
        <f t="shared" si="3"/>
        <v>0</v>
      </c>
      <c r="K13" s="35">
        <f>SUM(K14:K16)</f>
        <v>200000</v>
      </c>
    </row>
    <row r="14" spans="1:11" ht="12.75" customHeight="1" x14ac:dyDescent="0.25">
      <c r="A14" s="606" t="s">
        <v>1124</v>
      </c>
      <c r="B14" s="90"/>
      <c r="C14" s="366">
        <f>SC13BQ!B11</f>
        <v>0</v>
      </c>
      <c r="D14" s="366">
        <f>SC13BQ!C11</f>
        <v>200000</v>
      </c>
      <c r="E14" s="704">
        <f>SC13BQ!D11</f>
        <v>200000</v>
      </c>
      <c r="F14" s="331">
        <f>SC13BQ!E11</f>
        <v>0</v>
      </c>
      <c r="G14" s="704">
        <f>SC13BQ!F11</f>
        <v>200000</v>
      </c>
      <c r="H14" s="331">
        <f>SC13BQ!G11</f>
        <v>200000</v>
      </c>
      <c r="I14" s="148">
        <f t="shared" si="1"/>
        <v>0</v>
      </c>
      <c r="J14" s="34">
        <f t="shared" si="3"/>
        <v>0</v>
      </c>
      <c r="K14" s="367">
        <f>SC13BQ!J11</f>
        <v>200000</v>
      </c>
    </row>
    <row r="15" spans="1:11" ht="12.75" customHeight="1" x14ac:dyDescent="0.25">
      <c r="A15" s="606" t="s">
        <v>1125</v>
      </c>
      <c r="B15" s="90"/>
      <c r="C15" s="366">
        <f>SC13BQ!B12</f>
        <v>0</v>
      </c>
      <c r="D15" s="366">
        <f>SC13BQ!C12</f>
        <v>0</v>
      </c>
      <c r="E15" s="704">
        <f>SC13BQ!D12</f>
        <v>0</v>
      </c>
      <c r="F15" s="331">
        <f>SC13BQ!E12</f>
        <v>0</v>
      </c>
      <c r="G15" s="704">
        <f>SC13BQ!F12</f>
        <v>0</v>
      </c>
      <c r="H15" s="331">
        <f>SC13BQ!G12</f>
        <v>0</v>
      </c>
      <c r="I15" s="148">
        <f t="shared" si="1"/>
        <v>0</v>
      </c>
      <c r="J15" s="34" t="str">
        <f t="shared" si="3"/>
        <v/>
      </c>
      <c r="K15" s="367">
        <f>SC13BQ!J12</f>
        <v>0</v>
      </c>
    </row>
    <row r="16" spans="1:11" ht="12.75" customHeight="1" x14ac:dyDescent="0.25">
      <c r="A16" s="606" t="s">
        <v>1126</v>
      </c>
      <c r="B16" s="90"/>
      <c r="C16" s="366">
        <f>SC13BQ!B13</f>
        <v>0</v>
      </c>
      <c r="D16" s="366">
        <f>SC13BQ!C13</f>
        <v>0</v>
      </c>
      <c r="E16" s="704">
        <f>SC13BQ!D13</f>
        <v>0</v>
      </c>
      <c r="F16" s="331">
        <f>SC13BQ!E13</f>
        <v>0</v>
      </c>
      <c r="G16" s="704">
        <f>SC13BQ!F13</f>
        <v>0</v>
      </c>
      <c r="H16" s="331">
        <f>SC13BQ!G13</f>
        <v>0</v>
      </c>
      <c r="I16" s="148">
        <f t="shared" si="1"/>
        <v>0</v>
      </c>
      <c r="J16" s="34" t="str">
        <f t="shared" si="3"/>
        <v/>
      </c>
      <c r="K16" s="367">
        <f>SC13BQ!J13</f>
        <v>0</v>
      </c>
    </row>
    <row r="17" spans="1:11" ht="12.75" customHeight="1" x14ac:dyDescent="0.25">
      <c r="A17" s="30" t="s">
        <v>1127</v>
      </c>
      <c r="B17" s="90"/>
      <c r="C17" s="74">
        <f t="shared" ref="C17:H17" si="5">SUM(C18:C26)</f>
        <v>57309944.780000001</v>
      </c>
      <c r="D17" s="36">
        <f t="shared" si="5"/>
        <v>42893300</v>
      </c>
      <c r="E17" s="33">
        <f t="shared" si="5"/>
        <v>56448300</v>
      </c>
      <c r="F17" s="34">
        <f t="shared" si="5"/>
        <v>6559761.2999999998</v>
      </c>
      <c r="G17" s="33">
        <f t="shared" si="5"/>
        <v>10480189.050000001</v>
      </c>
      <c r="H17" s="34">
        <f t="shared" si="5"/>
        <v>30821469.16</v>
      </c>
      <c r="I17" s="148">
        <f t="shared" si="1"/>
        <v>20341280.109999999</v>
      </c>
      <c r="J17" s="34">
        <f t="shared" si="3"/>
        <v>0.65997113909154093</v>
      </c>
      <c r="K17" s="35">
        <f>SUM(K18:K26)</f>
        <v>56448300</v>
      </c>
    </row>
    <row r="18" spans="1:11" ht="12.75" customHeight="1" x14ac:dyDescent="0.25">
      <c r="A18" s="606" t="s">
        <v>1128</v>
      </c>
      <c r="B18" s="90"/>
      <c r="C18" s="366">
        <f>SC13BQ!B15</f>
        <v>0</v>
      </c>
      <c r="D18" s="366">
        <f>SC13BQ!C15</f>
        <v>0</v>
      </c>
      <c r="E18" s="704">
        <f>SC13BQ!D15</f>
        <v>0</v>
      </c>
      <c r="F18" s="331">
        <f>SC13BQ!E15</f>
        <v>0</v>
      </c>
      <c r="G18" s="704">
        <f>SC13BQ!F15</f>
        <v>0</v>
      </c>
      <c r="H18" s="331">
        <f>SC13BQ!G15</f>
        <v>0</v>
      </c>
      <c r="I18" s="148">
        <f t="shared" si="1"/>
        <v>0</v>
      </c>
      <c r="J18" s="34" t="str">
        <f t="shared" si="3"/>
        <v/>
      </c>
      <c r="K18" s="367">
        <f>SC13BQ!J15</f>
        <v>0</v>
      </c>
    </row>
    <row r="19" spans="1:11" ht="12.75" customHeight="1" x14ac:dyDescent="0.25">
      <c r="A19" s="606" t="s">
        <v>1129</v>
      </c>
      <c r="B19" s="90"/>
      <c r="C19" s="366">
        <f>SC13BQ!B16</f>
        <v>16209207.539999999</v>
      </c>
      <c r="D19" s="366">
        <f>SC13BQ!C16</f>
        <v>0</v>
      </c>
      <c r="E19" s="704">
        <f>SC13BQ!D16</f>
        <v>0</v>
      </c>
      <c r="F19" s="331">
        <f>SC13BQ!E16</f>
        <v>0</v>
      </c>
      <c r="G19" s="704">
        <f>SC13BQ!F16</f>
        <v>0</v>
      </c>
      <c r="H19" s="331">
        <f>SC13BQ!G16</f>
        <v>1500000</v>
      </c>
      <c r="I19" s="148">
        <f t="shared" si="1"/>
        <v>1500000</v>
      </c>
      <c r="J19" s="34">
        <f t="shared" si="3"/>
        <v>1</v>
      </c>
      <c r="K19" s="367">
        <f>SC13BQ!J16</f>
        <v>0</v>
      </c>
    </row>
    <row r="20" spans="1:11" ht="12.75" customHeight="1" x14ac:dyDescent="0.25">
      <c r="A20" s="606" t="s">
        <v>1130</v>
      </c>
      <c r="B20" s="90"/>
      <c r="C20" s="366">
        <f>SC13BQ!B17</f>
        <v>19248860.399999999</v>
      </c>
      <c r="D20" s="366">
        <f>SC13BQ!C17</f>
        <v>0</v>
      </c>
      <c r="E20" s="704">
        <f>SC13BQ!D17</f>
        <v>0</v>
      </c>
      <c r="F20" s="331">
        <f>SC13BQ!E17</f>
        <v>0</v>
      </c>
      <c r="G20" s="704">
        <f>SC13BQ!F17</f>
        <v>0</v>
      </c>
      <c r="H20" s="331">
        <f>SC13BQ!G17</f>
        <v>0</v>
      </c>
      <c r="I20" s="148">
        <f t="shared" si="1"/>
        <v>0</v>
      </c>
      <c r="J20" s="34" t="str">
        <f t="shared" si="3"/>
        <v/>
      </c>
      <c r="K20" s="367">
        <f>SC13BQ!J17</f>
        <v>0</v>
      </c>
    </row>
    <row r="21" spans="1:11" ht="12.75" customHeight="1" x14ac:dyDescent="0.25">
      <c r="A21" s="606" t="s">
        <v>1131</v>
      </c>
      <c r="B21" s="90"/>
      <c r="C21" s="366">
        <f>SC13BQ!B18</f>
        <v>9079997.0899999999</v>
      </c>
      <c r="D21" s="366">
        <f>SC13BQ!C18</f>
        <v>17000800</v>
      </c>
      <c r="E21" s="704">
        <f>SC13BQ!D18</f>
        <v>30555800</v>
      </c>
      <c r="F21" s="331">
        <f>SC13BQ!E18</f>
        <v>6370321.2999999998</v>
      </c>
      <c r="G21" s="704">
        <f>SC13BQ!F18</f>
        <v>8973771.3000000007</v>
      </c>
      <c r="H21" s="331">
        <f>SC13BQ!G18</f>
        <v>13195550</v>
      </c>
      <c r="I21" s="148">
        <f t="shared" si="1"/>
        <v>4221778.6999999993</v>
      </c>
      <c r="J21" s="34">
        <f t="shared" si="3"/>
        <v>0.31993957811534945</v>
      </c>
      <c r="K21" s="367">
        <f>SC13BQ!J18</f>
        <v>30555800</v>
      </c>
    </row>
    <row r="22" spans="1:11" ht="12.75" customHeight="1" x14ac:dyDescent="0.25">
      <c r="A22" s="606" t="s">
        <v>1132</v>
      </c>
      <c r="B22" s="90"/>
      <c r="C22" s="366">
        <f>SC13BQ!B19</f>
        <v>0</v>
      </c>
      <c r="D22" s="366">
        <f>SC13BQ!C19</f>
        <v>0</v>
      </c>
      <c r="E22" s="704">
        <f>SC13BQ!D19</f>
        <v>0</v>
      </c>
      <c r="F22" s="331">
        <f>SC13BQ!E19</f>
        <v>0</v>
      </c>
      <c r="G22" s="704">
        <f>SC13BQ!F19</f>
        <v>0</v>
      </c>
      <c r="H22" s="331">
        <f>SC13BQ!G19</f>
        <v>0</v>
      </c>
      <c r="I22" s="148">
        <f t="shared" si="1"/>
        <v>0</v>
      </c>
      <c r="J22" s="34" t="str">
        <f t="shared" si="3"/>
        <v/>
      </c>
      <c r="K22" s="367">
        <f>SC13BQ!J19</f>
        <v>0</v>
      </c>
    </row>
    <row r="23" spans="1:11" ht="12.75" customHeight="1" x14ac:dyDescent="0.25">
      <c r="A23" s="606" t="s">
        <v>1133</v>
      </c>
      <c r="B23" s="90"/>
      <c r="C23" s="366">
        <f>SC13BQ!B20</f>
        <v>0</v>
      </c>
      <c r="D23" s="366">
        <f>SC13BQ!C20</f>
        <v>0</v>
      </c>
      <c r="E23" s="704">
        <f>SC13BQ!D20</f>
        <v>0</v>
      </c>
      <c r="F23" s="331">
        <f>SC13BQ!E20</f>
        <v>0</v>
      </c>
      <c r="G23" s="704">
        <f>SC13BQ!F20</f>
        <v>0</v>
      </c>
      <c r="H23" s="331">
        <f>SC13BQ!G20</f>
        <v>0</v>
      </c>
      <c r="I23" s="148">
        <f t="shared" si="1"/>
        <v>0</v>
      </c>
      <c r="J23" s="34" t="str">
        <f t="shared" si="3"/>
        <v/>
      </c>
      <c r="K23" s="367">
        <f>SC13BQ!J20</f>
        <v>0</v>
      </c>
    </row>
    <row r="24" spans="1:11" ht="12.75" customHeight="1" x14ac:dyDescent="0.25">
      <c r="A24" s="606" t="s">
        <v>1134</v>
      </c>
      <c r="B24" s="90"/>
      <c r="C24" s="366">
        <f>SC13BQ!B21</f>
        <v>8464449.1500000004</v>
      </c>
      <c r="D24" s="366">
        <f>SC13BQ!C21</f>
        <v>21162500</v>
      </c>
      <c r="E24" s="704">
        <f>SC13BQ!D21</f>
        <v>21162500</v>
      </c>
      <c r="F24" s="331">
        <f>SC13BQ!E21</f>
        <v>45840</v>
      </c>
      <c r="G24" s="704">
        <f>SC13BQ!F21</f>
        <v>673437.75</v>
      </c>
      <c r="H24" s="331">
        <f>SC13BQ!G21</f>
        <v>11865919.16</v>
      </c>
      <c r="I24" s="148">
        <f t="shared" si="1"/>
        <v>11192481.41</v>
      </c>
      <c r="J24" s="34">
        <f t="shared" si="3"/>
        <v>0.94324605275669182</v>
      </c>
      <c r="K24" s="367">
        <f>SC13BQ!J21</f>
        <v>21162500</v>
      </c>
    </row>
    <row r="25" spans="1:11" ht="12.75" customHeight="1" x14ac:dyDescent="0.25">
      <c r="A25" s="606" t="s">
        <v>1135</v>
      </c>
      <c r="B25" s="90"/>
      <c r="C25" s="366">
        <f>SC13BQ!B22</f>
        <v>4307430.5999999996</v>
      </c>
      <c r="D25" s="366">
        <f>SC13BQ!C22</f>
        <v>4730000</v>
      </c>
      <c r="E25" s="704">
        <f>SC13BQ!D22</f>
        <v>4730000</v>
      </c>
      <c r="F25" s="331">
        <f>SC13BQ!E22</f>
        <v>143600</v>
      </c>
      <c r="G25" s="704">
        <f>SC13BQ!F22</f>
        <v>832980</v>
      </c>
      <c r="H25" s="331">
        <f>SC13BQ!G22</f>
        <v>4260000</v>
      </c>
      <c r="I25" s="148">
        <f t="shared" si="1"/>
        <v>3427020</v>
      </c>
      <c r="J25" s="34">
        <f t="shared" si="3"/>
        <v>0.80446478873239435</v>
      </c>
      <c r="K25" s="367">
        <f>SC13BQ!J22</f>
        <v>4730000</v>
      </c>
    </row>
    <row r="26" spans="1:11" ht="12.75" customHeight="1" x14ac:dyDescent="0.25">
      <c r="A26" s="606" t="s">
        <v>1122</v>
      </c>
      <c r="B26" s="90"/>
      <c r="C26" s="366">
        <f>SC13BQ!B23</f>
        <v>0</v>
      </c>
      <c r="D26" s="366">
        <f>SC13BQ!C23</f>
        <v>0</v>
      </c>
      <c r="E26" s="704">
        <f>SC13BQ!D23</f>
        <v>0</v>
      </c>
      <c r="F26" s="331">
        <f>SC13BQ!E23</f>
        <v>0</v>
      </c>
      <c r="G26" s="704">
        <f>SC13BQ!F23</f>
        <v>0</v>
      </c>
      <c r="H26" s="331">
        <f>SC13BQ!G23</f>
        <v>0</v>
      </c>
      <c r="I26" s="148">
        <f t="shared" si="1"/>
        <v>0</v>
      </c>
      <c r="J26" s="34" t="str">
        <f t="shared" si="3"/>
        <v/>
      </c>
      <c r="K26" s="367">
        <f>SC13BQ!J23</f>
        <v>0</v>
      </c>
    </row>
    <row r="27" spans="1:11" ht="12.75" customHeight="1" x14ac:dyDescent="0.25">
      <c r="A27" s="30" t="s">
        <v>1136</v>
      </c>
      <c r="B27" s="90"/>
      <c r="C27" s="74">
        <f t="shared" ref="C27:H27" si="6">SUM(C28:C37)</f>
        <v>118193262.42</v>
      </c>
      <c r="D27" s="36">
        <f t="shared" si="6"/>
        <v>112000000</v>
      </c>
      <c r="E27" s="33">
        <f t="shared" si="6"/>
        <v>103364500</v>
      </c>
      <c r="F27" s="34">
        <f t="shared" si="6"/>
        <v>858463.82000000007</v>
      </c>
      <c r="G27" s="33">
        <f t="shared" si="6"/>
        <v>114082547.22</v>
      </c>
      <c r="H27" s="34">
        <f t="shared" si="6"/>
        <v>109170167.27</v>
      </c>
      <c r="I27" s="148">
        <f t="shared" si="1"/>
        <v>-4912379.950000003</v>
      </c>
      <c r="J27" s="34">
        <f t="shared" si="3"/>
        <v>-4.4997457390082492E-2</v>
      </c>
      <c r="K27" s="35">
        <f>SUM(K28:K37)</f>
        <v>103364500</v>
      </c>
    </row>
    <row r="28" spans="1:11" ht="12.75" customHeight="1" x14ac:dyDescent="0.25">
      <c r="A28" s="606" t="s">
        <v>1137</v>
      </c>
      <c r="B28" s="90"/>
      <c r="C28" s="366">
        <f>SC13BQ!B25</f>
        <v>0</v>
      </c>
      <c r="D28" s="366">
        <f>SC13BQ!C25</f>
        <v>0</v>
      </c>
      <c r="E28" s="704">
        <f>SC13BQ!D25</f>
        <v>0</v>
      </c>
      <c r="F28" s="331">
        <f>SC13BQ!E25</f>
        <v>0</v>
      </c>
      <c r="G28" s="704">
        <f>SC13BQ!F25</f>
        <v>0</v>
      </c>
      <c r="H28" s="331">
        <f>SC13BQ!G25</f>
        <v>0</v>
      </c>
      <c r="I28" s="148">
        <f t="shared" si="1"/>
        <v>0</v>
      </c>
      <c r="J28" s="34" t="str">
        <f t="shared" si="3"/>
        <v/>
      </c>
      <c r="K28" s="367">
        <f>SC13BQ!J25</f>
        <v>0</v>
      </c>
    </row>
    <row r="29" spans="1:11" ht="12.75" customHeight="1" x14ac:dyDescent="0.25">
      <c r="A29" s="606" t="s">
        <v>1138</v>
      </c>
      <c r="B29" s="90"/>
      <c r="C29" s="366">
        <f>SC13BQ!B26</f>
        <v>0</v>
      </c>
      <c r="D29" s="366">
        <f>SC13BQ!C26</f>
        <v>0</v>
      </c>
      <c r="E29" s="704">
        <f>SC13BQ!D26</f>
        <v>0</v>
      </c>
      <c r="F29" s="331">
        <f>SC13BQ!E26</f>
        <v>0</v>
      </c>
      <c r="G29" s="704">
        <f>SC13BQ!F26</f>
        <v>0</v>
      </c>
      <c r="H29" s="331">
        <f>SC13BQ!G26</f>
        <v>0</v>
      </c>
      <c r="I29" s="148">
        <f t="shared" si="1"/>
        <v>0</v>
      </c>
      <c r="J29" s="34" t="str">
        <f t="shared" si="3"/>
        <v/>
      </c>
      <c r="K29" s="367">
        <f>SC13BQ!J26</f>
        <v>0</v>
      </c>
    </row>
    <row r="30" spans="1:11" ht="12.75" customHeight="1" x14ac:dyDescent="0.25">
      <c r="A30" s="606" t="s">
        <v>1139</v>
      </c>
      <c r="B30" s="90"/>
      <c r="C30" s="366">
        <f>SC13BQ!B27</f>
        <v>0</v>
      </c>
      <c r="D30" s="366">
        <f>SC13BQ!C27</f>
        <v>0</v>
      </c>
      <c r="E30" s="704">
        <f>SC13BQ!D27</f>
        <v>0</v>
      </c>
      <c r="F30" s="331">
        <f>SC13BQ!E27</f>
        <v>0</v>
      </c>
      <c r="G30" s="704">
        <f>SC13BQ!F27</f>
        <v>0</v>
      </c>
      <c r="H30" s="331">
        <f>SC13BQ!G27</f>
        <v>0</v>
      </c>
      <c r="I30" s="148">
        <f t="shared" si="1"/>
        <v>0</v>
      </c>
      <c r="J30" s="34" t="str">
        <f t="shared" si="3"/>
        <v/>
      </c>
      <c r="K30" s="367">
        <f>SC13BQ!J27</f>
        <v>0</v>
      </c>
    </row>
    <row r="31" spans="1:11" ht="12.75" customHeight="1" x14ac:dyDescent="0.25">
      <c r="A31" s="606" t="s">
        <v>1140</v>
      </c>
      <c r="B31" s="90"/>
      <c r="C31" s="366">
        <f>SC13BQ!B28</f>
        <v>0</v>
      </c>
      <c r="D31" s="366">
        <f>SC13BQ!C28</f>
        <v>0</v>
      </c>
      <c r="E31" s="704">
        <f>SC13BQ!D28</f>
        <v>0</v>
      </c>
      <c r="F31" s="331">
        <f>SC13BQ!E28</f>
        <v>0</v>
      </c>
      <c r="G31" s="704">
        <f>SC13BQ!F28</f>
        <v>0</v>
      </c>
      <c r="H31" s="331">
        <f>SC13BQ!G28</f>
        <v>0</v>
      </c>
      <c r="I31" s="148">
        <f t="shared" si="1"/>
        <v>0</v>
      </c>
      <c r="J31" s="34" t="str">
        <f t="shared" si="3"/>
        <v/>
      </c>
      <c r="K31" s="367">
        <f>SC13BQ!J28</f>
        <v>0</v>
      </c>
    </row>
    <row r="32" spans="1:11" ht="12.75" customHeight="1" x14ac:dyDescent="0.25">
      <c r="A32" s="606" t="s">
        <v>1141</v>
      </c>
      <c r="B32" s="90"/>
      <c r="C32" s="366">
        <f>SC13BQ!B29</f>
        <v>-5694967.3600000003</v>
      </c>
      <c r="D32" s="366">
        <f>SC13BQ!C29</f>
        <v>0</v>
      </c>
      <c r="E32" s="704">
        <f>SC13BQ!D29</f>
        <v>0</v>
      </c>
      <c r="F32" s="331">
        <f>SC13BQ!E29</f>
        <v>0</v>
      </c>
      <c r="G32" s="704">
        <f>SC13BQ!F29</f>
        <v>0</v>
      </c>
      <c r="H32" s="331">
        <f>SC13BQ!G29</f>
        <v>0</v>
      </c>
      <c r="I32" s="148">
        <f t="shared" si="1"/>
        <v>0</v>
      </c>
      <c r="J32" s="34" t="str">
        <f t="shared" si="3"/>
        <v/>
      </c>
      <c r="K32" s="367">
        <f>SC13BQ!J29</f>
        <v>0</v>
      </c>
    </row>
    <row r="33" spans="1:11" ht="12.75" customHeight="1" x14ac:dyDescent="0.25">
      <c r="A33" s="606" t="s">
        <v>1142</v>
      </c>
      <c r="B33" s="90"/>
      <c r="C33" s="366">
        <f>SC13BQ!B30</f>
        <v>0</v>
      </c>
      <c r="D33" s="366">
        <f>SC13BQ!C30</f>
        <v>0</v>
      </c>
      <c r="E33" s="704">
        <f>SC13BQ!D30</f>
        <v>0</v>
      </c>
      <c r="F33" s="331">
        <f>SC13BQ!E30</f>
        <v>0</v>
      </c>
      <c r="G33" s="704">
        <f>SC13BQ!F30</f>
        <v>0</v>
      </c>
      <c r="H33" s="331">
        <f>SC13BQ!G30</f>
        <v>0</v>
      </c>
      <c r="I33" s="148">
        <f t="shared" si="1"/>
        <v>0</v>
      </c>
      <c r="J33" s="34" t="str">
        <f t="shared" si="3"/>
        <v/>
      </c>
      <c r="K33" s="367">
        <f>SC13BQ!J30</f>
        <v>0</v>
      </c>
    </row>
    <row r="34" spans="1:11" ht="12.75" customHeight="1" x14ac:dyDescent="0.25">
      <c r="A34" s="606" t="s">
        <v>1143</v>
      </c>
      <c r="B34" s="90"/>
      <c r="C34" s="366">
        <f>SC13BQ!B31</f>
        <v>122834656.62</v>
      </c>
      <c r="D34" s="366">
        <f>SC13BQ!C31</f>
        <v>110000000</v>
      </c>
      <c r="E34" s="704">
        <f>SC13BQ!D31</f>
        <v>101364500</v>
      </c>
      <c r="F34" s="331">
        <f>SC13BQ!E31</f>
        <v>416200</v>
      </c>
      <c r="G34" s="704">
        <f>SC13BQ!F31</f>
        <v>112258261.40000001</v>
      </c>
      <c r="H34" s="331">
        <f>SC13BQ!G31</f>
        <v>108170167.27</v>
      </c>
      <c r="I34" s="148">
        <f t="shared" si="1"/>
        <v>-4088094.1300000101</v>
      </c>
      <c r="J34" s="34">
        <f t="shared" si="3"/>
        <v>-3.7793175634053086E-2</v>
      </c>
      <c r="K34" s="367">
        <f>SC13BQ!J31</f>
        <v>101364500</v>
      </c>
    </row>
    <row r="35" spans="1:11" ht="12.75" customHeight="1" x14ac:dyDescent="0.25">
      <c r="A35" s="606" t="s">
        <v>1144</v>
      </c>
      <c r="B35" s="90"/>
      <c r="C35" s="366">
        <f>SC13BQ!B32</f>
        <v>1053573.1599999999</v>
      </c>
      <c r="D35" s="366">
        <f>SC13BQ!C32</f>
        <v>2000000</v>
      </c>
      <c r="E35" s="704">
        <f>SC13BQ!D32</f>
        <v>2000000</v>
      </c>
      <c r="F35" s="331">
        <f>SC13BQ!E32</f>
        <v>442263.82</v>
      </c>
      <c r="G35" s="704">
        <f>SC13BQ!F32</f>
        <v>1824285.82</v>
      </c>
      <c r="H35" s="331">
        <f>SC13BQ!G32</f>
        <v>1000000</v>
      </c>
      <c r="I35" s="148">
        <f t="shared" si="1"/>
        <v>-824285.82000000007</v>
      </c>
      <c r="J35" s="34">
        <f t="shared" si="3"/>
        <v>-0.82428582000000006</v>
      </c>
      <c r="K35" s="367">
        <f>SC13BQ!J32</f>
        <v>2000000</v>
      </c>
    </row>
    <row r="36" spans="1:11" ht="12.75" customHeight="1" x14ac:dyDescent="0.25">
      <c r="A36" s="606" t="s">
        <v>1145</v>
      </c>
      <c r="B36" s="90"/>
      <c r="C36" s="366">
        <f>SC13BQ!B33</f>
        <v>0</v>
      </c>
      <c r="D36" s="366">
        <f>SC13BQ!C33</f>
        <v>0</v>
      </c>
      <c r="E36" s="704">
        <f>SC13BQ!D33</f>
        <v>0</v>
      </c>
      <c r="F36" s="331">
        <f>SC13BQ!E33</f>
        <v>0</v>
      </c>
      <c r="G36" s="704">
        <f>SC13BQ!F33</f>
        <v>0</v>
      </c>
      <c r="H36" s="331">
        <f>SC13BQ!G33</f>
        <v>0</v>
      </c>
      <c r="I36" s="148">
        <f t="shared" si="1"/>
        <v>0</v>
      </c>
      <c r="J36" s="34" t="str">
        <f t="shared" si="3"/>
        <v/>
      </c>
      <c r="K36" s="367">
        <f>SC13BQ!J33</f>
        <v>0</v>
      </c>
    </row>
    <row r="37" spans="1:11" ht="12.75" customHeight="1" x14ac:dyDescent="0.25">
      <c r="A37" s="606" t="s">
        <v>1122</v>
      </c>
      <c r="B37" s="90"/>
      <c r="C37" s="366">
        <f>SC13BQ!B34</f>
        <v>0</v>
      </c>
      <c r="D37" s="366">
        <f>SC13BQ!C34</f>
        <v>0</v>
      </c>
      <c r="E37" s="704">
        <f>SC13BQ!D34</f>
        <v>0</v>
      </c>
      <c r="F37" s="331">
        <f>SC13BQ!E34</f>
        <v>0</v>
      </c>
      <c r="G37" s="704">
        <f>SC13BQ!F34</f>
        <v>0</v>
      </c>
      <c r="H37" s="331">
        <f>SC13BQ!G34</f>
        <v>0</v>
      </c>
      <c r="I37" s="148">
        <f t="shared" si="1"/>
        <v>0</v>
      </c>
      <c r="J37" s="34" t="str">
        <f t="shared" si="3"/>
        <v/>
      </c>
      <c r="K37" s="367">
        <f>SC13BQ!J34</f>
        <v>0</v>
      </c>
    </row>
    <row r="38" spans="1:11" ht="12.75" customHeight="1" x14ac:dyDescent="0.25">
      <c r="A38" s="30" t="s">
        <v>1146</v>
      </c>
      <c r="B38" s="90"/>
      <c r="C38" s="74">
        <f t="shared" ref="C38:H38" si="7">SUM(C39:C44)</f>
        <v>42654910.119999997</v>
      </c>
      <c r="D38" s="36">
        <f t="shared" si="7"/>
        <v>39000000</v>
      </c>
      <c r="E38" s="33">
        <f t="shared" si="7"/>
        <v>35000000</v>
      </c>
      <c r="F38" s="34">
        <f t="shared" si="7"/>
        <v>0</v>
      </c>
      <c r="G38" s="33">
        <f t="shared" si="7"/>
        <v>34987093.93</v>
      </c>
      <c r="H38" s="34">
        <f t="shared" si="7"/>
        <v>34590334.93</v>
      </c>
      <c r="I38" s="148">
        <f t="shared" si="1"/>
        <v>-396759</v>
      </c>
      <c r="J38" s="34">
        <f t="shared" si="3"/>
        <v>-1.1470227183486829E-2</v>
      </c>
      <c r="K38" s="35">
        <f>SUM(K39:K44)</f>
        <v>35000000</v>
      </c>
    </row>
    <row r="39" spans="1:11" ht="12.75" customHeight="1" x14ac:dyDescent="0.25">
      <c r="A39" s="606" t="s">
        <v>1147</v>
      </c>
      <c r="B39" s="90"/>
      <c r="C39" s="366">
        <f>SC13BQ!B36</f>
        <v>42607737.609999999</v>
      </c>
      <c r="D39" s="366">
        <f>SC13BQ!C36</f>
        <v>39000000</v>
      </c>
      <c r="E39" s="704">
        <f>SC13BQ!D36</f>
        <v>35000000</v>
      </c>
      <c r="F39" s="331">
        <f>SC13BQ!E36</f>
        <v>0</v>
      </c>
      <c r="G39" s="704">
        <f>SC13BQ!F36</f>
        <v>34987093.93</v>
      </c>
      <c r="H39" s="331">
        <f>SC13BQ!G36</f>
        <v>34590334.93</v>
      </c>
      <c r="I39" s="148">
        <f t="shared" ref="I39:I75" si="8">H39-G39</f>
        <v>-396759</v>
      </c>
      <c r="J39" s="34">
        <f t="shared" si="3"/>
        <v>-1.1470227183486829E-2</v>
      </c>
      <c r="K39" s="367">
        <f>SC13BQ!J36</f>
        <v>35000000</v>
      </c>
    </row>
    <row r="40" spans="1:11" ht="12.75" customHeight="1" x14ac:dyDescent="0.25">
      <c r="A40" s="606" t="s">
        <v>117</v>
      </c>
      <c r="B40" s="90"/>
      <c r="C40" s="366">
        <f>SC13BQ!B37</f>
        <v>0</v>
      </c>
      <c r="D40" s="366">
        <f>SC13BQ!C37</f>
        <v>0</v>
      </c>
      <c r="E40" s="704">
        <f>SC13BQ!D37</f>
        <v>0</v>
      </c>
      <c r="F40" s="331">
        <f>SC13BQ!E37</f>
        <v>0</v>
      </c>
      <c r="G40" s="704">
        <f>SC13BQ!F37</f>
        <v>0</v>
      </c>
      <c r="H40" s="331">
        <f>SC13BQ!G37</f>
        <v>0</v>
      </c>
      <c r="I40" s="148">
        <f t="shared" si="8"/>
        <v>0</v>
      </c>
      <c r="J40" s="34" t="str">
        <f t="shared" si="3"/>
        <v/>
      </c>
      <c r="K40" s="367">
        <f>SC13BQ!J37</f>
        <v>0</v>
      </c>
    </row>
    <row r="41" spans="1:11" ht="12.75" customHeight="1" x14ac:dyDescent="0.25">
      <c r="A41" s="606" t="s">
        <v>1148</v>
      </c>
      <c r="B41" s="90"/>
      <c r="C41" s="366">
        <f>SC13BQ!B38</f>
        <v>47172.51</v>
      </c>
      <c r="D41" s="366">
        <f>SC13BQ!C38</f>
        <v>0</v>
      </c>
      <c r="E41" s="704">
        <f>SC13BQ!D38</f>
        <v>0</v>
      </c>
      <c r="F41" s="331">
        <f>SC13BQ!E38</f>
        <v>0</v>
      </c>
      <c r="G41" s="704">
        <f>SC13BQ!F38</f>
        <v>0</v>
      </c>
      <c r="H41" s="331">
        <f>SC13BQ!G38</f>
        <v>0</v>
      </c>
      <c r="I41" s="148">
        <f t="shared" si="8"/>
        <v>0</v>
      </c>
      <c r="J41" s="34" t="str">
        <f t="shared" si="3"/>
        <v/>
      </c>
      <c r="K41" s="367">
        <f>SC13BQ!J38</f>
        <v>0</v>
      </c>
    </row>
    <row r="42" spans="1:11" ht="12.75" customHeight="1" x14ac:dyDescent="0.25">
      <c r="A42" s="606" t="s">
        <v>1149</v>
      </c>
      <c r="B42" s="90"/>
      <c r="C42" s="366">
        <f>SC13BQ!B39</f>
        <v>0</v>
      </c>
      <c r="D42" s="366">
        <f>SC13BQ!C39</f>
        <v>0</v>
      </c>
      <c r="E42" s="704">
        <f>SC13BQ!D39</f>
        <v>0</v>
      </c>
      <c r="F42" s="331">
        <f>SC13BQ!E39</f>
        <v>0</v>
      </c>
      <c r="G42" s="704">
        <f>SC13BQ!F39</f>
        <v>0</v>
      </c>
      <c r="H42" s="331">
        <f>SC13BQ!G39</f>
        <v>0</v>
      </c>
      <c r="I42" s="148">
        <f t="shared" si="8"/>
        <v>0</v>
      </c>
      <c r="J42" s="34" t="str">
        <f t="shared" si="3"/>
        <v/>
      </c>
      <c r="K42" s="367">
        <f>SC13BQ!J39</f>
        <v>0</v>
      </c>
    </row>
    <row r="43" spans="1:11" ht="12.75" customHeight="1" x14ac:dyDescent="0.25">
      <c r="A43" s="606" t="s">
        <v>1150</v>
      </c>
      <c r="B43" s="90"/>
      <c r="C43" s="366">
        <f>SC13BQ!B40</f>
        <v>0</v>
      </c>
      <c r="D43" s="366">
        <f>SC13BQ!C40</f>
        <v>0</v>
      </c>
      <c r="E43" s="704">
        <f>SC13BQ!D40</f>
        <v>0</v>
      </c>
      <c r="F43" s="331">
        <f>SC13BQ!E40</f>
        <v>0</v>
      </c>
      <c r="G43" s="704">
        <f>SC13BQ!F40</f>
        <v>0</v>
      </c>
      <c r="H43" s="331">
        <f>SC13BQ!G40</f>
        <v>0</v>
      </c>
      <c r="I43" s="148">
        <f t="shared" si="8"/>
        <v>0</v>
      </c>
      <c r="J43" s="34" t="str">
        <f t="shared" si="3"/>
        <v/>
      </c>
      <c r="K43" s="367">
        <f>SC13BQ!J40</f>
        <v>0</v>
      </c>
    </row>
    <row r="44" spans="1:11" ht="12.75" customHeight="1" x14ac:dyDescent="0.25">
      <c r="A44" s="606" t="s">
        <v>1122</v>
      </c>
      <c r="B44" s="90"/>
      <c r="C44" s="366">
        <f>SC13BQ!B41</f>
        <v>0</v>
      </c>
      <c r="D44" s="366">
        <f>SC13BQ!C41</f>
        <v>0</v>
      </c>
      <c r="E44" s="704">
        <f>SC13BQ!D41</f>
        <v>0</v>
      </c>
      <c r="F44" s="331">
        <f>SC13BQ!E41</f>
        <v>0</v>
      </c>
      <c r="G44" s="704">
        <f>SC13BQ!F41</f>
        <v>0</v>
      </c>
      <c r="H44" s="331">
        <f>SC13BQ!G41</f>
        <v>0</v>
      </c>
      <c r="I44" s="148">
        <f t="shared" si="8"/>
        <v>0</v>
      </c>
      <c r="J44" s="34" t="str">
        <f t="shared" si="3"/>
        <v/>
      </c>
      <c r="K44" s="367">
        <f>SC13BQ!J41</f>
        <v>0</v>
      </c>
    </row>
    <row r="45" spans="1:11" ht="12.75" customHeight="1" x14ac:dyDescent="0.25">
      <c r="A45" s="30" t="s">
        <v>1151</v>
      </c>
      <c r="B45" s="90"/>
      <c r="C45" s="74">
        <f t="shared" ref="C45:H45" si="9">SUM(C46:C52)</f>
        <v>0</v>
      </c>
      <c r="D45" s="36">
        <f t="shared" si="9"/>
        <v>0</v>
      </c>
      <c r="E45" s="33">
        <f t="shared" si="9"/>
        <v>0</v>
      </c>
      <c r="F45" s="34">
        <f t="shared" si="9"/>
        <v>0</v>
      </c>
      <c r="G45" s="33">
        <f t="shared" si="9"/>
        <v>0</v>
      </c>
      <c r="H45" s="34">
        <f t="shared" si="9"/>
        <v>0</v>
      </c>
      <c r="I45" s="148">
        <f t="shared" si="8"/>
        <v>0</v>
      </c>
      <c r="J45" s="34" t="str">
        <f t="shared" si="3"/>
        <v/>
      </c>
      <c r="K45" s="35">
        <f>SUM(K46:K52)</f>
        <v>0</v>
      </c>
    </row>
    <row r="46" spans="1:11" ht="12.75" customHeight="1" x14ac:dyDescent="0.25">
      <c r="A46" s="606" t="s">
        <v>1152</v>
      </c>
      <c r="B46" s="90"/>
      <c r="C46" s="366">
        <f>SC13BQ!B43</f>
        <v>0</v>
      </c>
      <c r="D46" s="366">
        <f>SC13BQ!C43</f>
        <v>0</v>
      </c>
      <c r="E46" s="704">
        <f>SC13BQ!D43</f>
        <v>0</v>
      </c>
      <c r="F46" s="331">
        <f>SC13BQ!E43</f>
        <v>0</v>
      </c>
      <c r="G46" s="704">
        <f>SC13BQ!F43</f>
        <v>0</v>
      </c>
      <c r="H46" s="331">
        <f>SC13BQ!G43</f>
        <v>0</v>
      </c>
      <c r="I46" s="148">
        <f t="shared" si="8"/>
        <v>0</v>
      </c>
      <c r="J46" s="34" t="str">
        <f t="shared" si="3"/>
        <v/>
      </c>
      <c r="K46" s="367">
        <f>SC13BQ!J43</f>
        <v>0</v>
      </c>
    </row>
    <row r="47" spans="1:11" ht="12.75" customHeight="1" x14ac:dyDescent="0.25">
      <c r="A47" s="606" t="s">
        <v>1153</v>
      </c>
      <c r="B47" s="90"/>
      <c r="C47" s="366">
        <f>SC13BQ!B44</f>
        <v>0</v>
      </c>
      <c r="D47" s="366">
        <f>SC13BQ!C44</f>
        <v>0</v>
      </c>
      <c r="E47" s="704">
        <f>SC13BQ!D44</f>
        <v>0</v>
      </c>
      <c r="F47" s="331">
        <f>SC13BQ!E44</f>
        <v>0</v>
      </c>
      <c r="G47" s="704">
        <f>SC13BQ!F44</f>
        <v>0</v>
      </c>
      <c r="H47" s="331">
        <f>SC13BQ!G44</f>
        <v>0</v>
      </c>
      <c r="I47" s="148">
        <f t="shared" si="8"/>
        <v>0</v>
      </c>
      <c r="J47" s="34" t="str">
        <f t="shared" si="3"/>
        <v/>
      </c>
      <c r="K47" s="367">
        <f>SC13BQ!J44</f>
        <v>0</v>
      </c>
    </row>
    <row r="48" spans="1:11" ht="12.75" customHeight="1" x14ac:dyDescent="0.25">
      <c r="A48" s="606" t="s">
        <v>1154</v>
      </c>
      <c r="B48" s="90"/>
      <c r="C48" s="366">
        <f>SC13BQ!B45</f>
        <v>0</v>
      </c>
      <c r="D48" s="366">
        <f>SC13BQ!C45</f>
        <v>0</v>
      </c>
      <c r="E48" s="704">
        <f>SC13BQ!D45</f>
        <v>0</v>
      </c>
      <c r="F48" s="331">
        <f>SC13BQ!E45</f>
        <v>0</v>
      </c>
      <c r="G48" s="704">
        <f>SC13BQ!F45</f>
        <v>0</v>
      </c>
      <c r="H48" s="331">
        <f>SC13BQ!G45</f>
        <v>0</v>
      </c>
      <c r="I48" s="148">
        <f t="shared" si="8"/>
        <v>0</v>
      </c>
      <c r="J48" s="34" t="str">
        <f t="shared" si="3"/>
        <v/>
      </c>
      <c r="K48" s="367">
        <f>SC13BQ!J45</f>
        <v>0</v>
      </c>
    </row>
    <row r="49" spans="1:11" ht="12.75" customHeight="1" x14ac:dyDescent="0.25">
      <c r="A49" s="606" t="s">
        <v>1155</v>
      </c>
      <c r="B49" s="90"/>
      <c r="C49" s="366">
        <f>SC13BQ!B46</f>
        <v>0</v>
      </c>
      <c r="D49" s="366">
        <f>SC13BQ!C46</f>
        <v>0</v>
      </c>
      <c r="E49" s="704">
        <f>SC13BQ!D46</f>
        <v>0</v>
      </c>
      <c r="F49" s="331">
        <f>SC13BQ!E46</f>
        <v>0</v>
      </c>
      <c r="G49" s="704">
        <f>SC13BQ!F46</f>
        <v>0</v>
      </c>
      <c r="H49" s="331">
        <f>SC13BQ!G46</f>
        <v>0</v>
      </c>
      <c r="I49" s="148">
        <f t="shared" si="8"/>
        <v>0</v>
      </c>
      <c r="J49" s="34" t="str">
        <f t="shared" si="3"/>
        <v/>
      </c>
      <c r="K49" s="367">
        <f>SC13BQ!J46</f>
        <v>0</v>
      </c>
    </row>
    <row r="50" spans="1:11" ht="12.75" customHeight="1" x14ac:dyDescent="0.25">
      <c r="A50" s="606" t="s">
        <v>1156</v>
      </c>
      <c r="B50" s="90"/>
      <c r="C50" s="366">
        <f>SC13BQ!B47</f>
        <v>0</v>
      </c>
      <c r="D50" s="366">
        <f>SC13BQ!C47</f>
        <v>0</v>
      </c>
      <c r="E50" s="704">
        <f>SC13BQ!D47</f>
        <v>0</v>
      </c>
      <c r="F50" s="331">
        <f>SC13BQ!E47</f>
        <v>0</v>
      </c>
      <c r="G50" s="704">
        <f>SC13BQ!F47</f>
        <v>0</v>
      </c>
      <c r="H50" s="331">
        <f>SC13BQ!G47</f>
        <v>0</v>
      </c>
      <c r="I50" s="148">
        <f t="shared" si="8"/>
        <v>0</v>
      </c>
      <c r="J50" s="34" t="str">
        <f t="shared" si="3"/>
        <v/>
      </c>
      <c r="K50" s="367">
        <f>SC13BQ!J47</f>
        <v>0</v>
      </c>
    </row>
    <row r="51" spans="1:11" ht="12.75" customHeight="1" x14ac:dyDescent="0.25">
      <c r="A51" s="606" t="s">
        <v>1157</v>
      </c>
      <c r="B51" s="90"/>
      <c r="C51" s="366">
        <f>SC13BQ!B48</f>
        <v>0</v>
      </c>
      <c r="D51" s="366">
        <f>SC13BQ!C48</f>
        <v>0</v>
      </c>
      <c r="E51" s="704">
        <f>SC13BQ!D48</f>
        <v>0</v>
      </c>
      <c r="F51" s="331">
        <f>SC13BQ!E48</f>
        <v>0</v>
      </c>
      <c r="G51" s="704">
        <f>SC13BQ!F48</f>
        <v>0</v>
      </c>
      <c r="H51" s="331">
        <f>SC13BQ!G48</f>
        <v>0</v>
      </c>
      <c r="I51" s="148">
        <f t="shared" si="8"/>
        <v>0</v>
      </c>
      <c r="J51" s="34" t="str">
        <f t="shared" si="3"/>
        <v/>
      </c>
      <c r="K51" s="367">
        <f>SC13BQ!J48</f>
        <v>0</v>
      </c>
    </row>
    <row r="52" spans="1:11" ht="12.75" customHeight="1" x14ac:dyDescent="0.25">
      <c r="A52" s="606" t="s">
        <v>1122</v>
      </c>
      <c r="B52" s="90"/>
      <c r="C52" s="366">
        <f>SC13BQ!B49</f>
        <v>0</v>
      </c>
      <c r="D52" s="366">
        <f>SC13BQ!C49</f>
        <v>0</v>
      </c>
      <c r="E52" s="704">
        <f>SC13BQ!D49</f>
        <v>0</v>
      </c>
      <c r="F52" s="331">
        <f>SC13BQ!E49</f>
        <v>0</v>
      </c>
      <c r="G52" s="704">
        <f>SC13BQ!F49</f>
        <v>0</v>
      </c>
      <c r="H52" s="331">
        <f>SC13BQ!G49</f>
        <v>0</v>
      </c>
      <c r="I52" s="148">
        <f t="shared" si="8"/>
        <v>0</v>
      </c>
      <c r="J52" s="34" t="str">
        <f t="shared" si="3"/>
        <v/>
      </c>
      <c r="K52" s="367">
        <f>SC13BQ!J49</f>
        <v>0</v>
      </c>
    </row>
    <row r="53" spans="1:11" ht="12.75" customHeight="1" x14ac:dyDescent="0.25">
      <c r="A53" s="30" t="s">
        <v>1158</v>
      </c>
      <c r="B53" s="90"/>
      <c r="C53" s="74">
        <f t="shared" ref="C53:H53" si="10">SUM(C54:C62)</f>
        <v>0</v>
      </c>
      <c r="D53" s="36">
        <f t="shared" si="10"/>
        <v>0</v>
      </c>
      <c r="E53" s="33">
        <f t="shared" si="10"/>
        <v>0</v>
      </c>
      <c r="F53" s="34">
        <f t="shared" si="10"/>
        <v>0</v>
      </c>
      <c r="G53" s="33">
        <f t="shared" si="10"/>
        <v>0</v>
      </c>
      <c r="H53" s="34">
        <f t="shared" si="10"/>
        <v>0</v>
      </c>
      <c r="I53" s="148">
        <f t="shared" si="8"/>
        <v>0</v>
      </c>
      <c r="J53" s="34" t="str">
        <f t="shared" si="3"/>
        <v/>
      </c>
      <c r="K53" s="35">
        <f>SUM(K54:K62)</f>
        <v>0</v>
      </c>
    </row>
    <row r="54" spans="1:11" ht="12.75" customHeight="1" x14ac:dyDescent="0.25">
      <c r="A54" s="606" t="s">
        <v>1159</v>
      </c>
      <c r="B54" s="90"/>
      <c r="C54" s="366">
        <f>SC13BQ!B51</f>
        <v>0</v>
      </c>
      <c r="D54" s="366">
        <f>SC13BQ!C51</f>
        <v>0</v>
      </c>
      <c r="E54" s="704">
        <f>SC13BQ!D51</f>
        <v>0</v>
      </c>
      <c r="F54" s="331">
        <f>SC13BQ!E51</f>
        <v>0</v>
      </c>
      <c r="G54" s="704">
        <f>SC13BQ!F51</f>
        <v>0</v>
      </c>
      <c r="H54" s="331">
        <f>SC13BQ!G51</f>
        <v>0</v>
      </c>
      <c r="I54" s="148">
        <f t="shared" si="8"/>
        <v>0</v>
      </c>
      <c r="J54" s="34" t="str">
        <f t="shared" si="3"/>
        <v/>
      </c>
      <c r="K54" s="367">
        <f>SC13BQ!J51</f>
        <v>0</v>
      </c>
    </row>
    <row r="55" spans="1:11" ht="12.75" customHeight="1" x14ac:dyDescent="0.25">
      <c r="A55" s="606" t="s">
        <v>1160</v>
      </c>
      <c r="B55" s="90"/>
      <c r="C55" s="366">
        <f>SC13BQ!B52</f>
        <v>0</v>
      </c>
      <c r="D55" s="366">
        <f>SC13BQ!C52</f>
        <v>0</v>
      </c>
      <c r="E55" s="704">
        <f>SC13BQ!D52</f>
        <v>0</v>
      </c>
      <c r="F55" s="331">
        <f>SC13BQ!E52</f>
        <v>0</v>
      </c>
      <c r="G55" s="704">
        <f>SC13BQ!F52</f>
        <v>0</v>
      </c>
      <c r="H55" s="331">
        <f>SC13BQ!G52</f>
        <v>0</v>
      </c>
      <c r="I55" s="148">
        <f t="shared" si="8"/>
        <v>0</v>
      </c>
      <c r="J55" s="34" t="str">
        <f t="shared" si="3"/>
        <v/>
      </c>
      <c r="K55" s="367">
        <f>SC13BQ!J52</f>
        <v>0</v>
      </c>
    </row>
    <row r="56" spans="1:11" ht="12.75" customHeight="1" x14ac:dyDescent="0.25">
      <c r="A56" s="606" t="s">
        <v>1161</v>
      </c>
      <c r="B56" s="90"/>
      <c r="C56" s="366">
        <f>SC13BQ!B53</f>
        <v>0</v>
      </c>
      <c r="D56" s="366">
        <f>SC13BQ!C53</f>
        <v>0</v>
      </c>
      <c r="E56" s="704">
        <f>SC13BQ!D53</f>
        <v>0</v>
      </c>
      <c r="F56" s="331">
        <f>SC13BQ!E53</f>
        <v>0</v>
      </c>
      <c r="G56" s="704">
        <f>SC13BQ!F53</f>
        <v>0</v>
      </c>
      <c r="H56" s="331">
        <f>SC13BQ!G53</f>
        <v>0</v>
      </c>
      <c r="I56" s="148">
        <f t="shared" si="8"/>
        <v>0</v>
      </c>
      <c r="J56" s="34" t="str">
        <f t="shared" si="3"/>
        <v/>
      </c>
      <c r="K56" s="367">
        <f>SC13BQ!J53</f>
        <v>0</v>
      </c>
    </row>
    <row r="57" spans="1:11" ht="12.75" customHeight="1" x14ac:dyDescent="0.25">
      <c r="A57" s="606" t="s">
        <v>1124</v>
      </c>
      <c r="B57" s="90"/>
      <c r="C57" s="366">
        <f>SC13BQ!B54</f>
        <v>0</v>
      </c>
      <c r="D57" s="366">
        <f>SC13BQ!C54</f>
        <v>0</v>
      </c>
      <c r="E57" s="704">
        <f>SC13BQ!D54</f>
        <v>0</v>
      </c>
      <c r="F57" s="331">
        <f>SC13BQ!E54</f>
        <v>0</v>
      </c>
      <c r="G57" s="704">
        <f>SC13BQ!F54</f>
        <v>0</v>
      </c>
      <c r="H57" s="331">
        <f>SC13BQ!G54</f>
        <v>0</v>
      </c>
      <c r="I57" s="148">
        <f t="shared" si="8"/>
        <v>0</v>
      </c>
      <c r="J57" s="34" t="str">
        <f t="shared" si="3"/>
        <v/>
      </c>
      <c r="K57" s="367">
        <f>SC13BQ!J54</f>
        <v>0</v>
      </c>
    </row>
    <row r="58" spans="1:11" ht="12.75" customHeight="1" x14ac:dyDescent="0.25">
      <c r="A58" s="606" t="s">
        <v>1125</v>
      </c>
      <c r="B58" s="90"/>
      <c r="C58" s="366">
        <f>SC13BQ!B55</f>
        <v>0</v>
      </c>
      <c r="D58" s="366">
        <f>SC13BQ!C55</f>
        <v>0</v>
      </c>
      <c r="E58" s="704">
        <f>SC13BQ!D55</f>
        <v>0</v>
      </c>
      <c r="F58" s="331">
        <f>SC13BQ!E55</f>
        <v>0</v>
      </c>
      <c r="G58" s="704">
        <f>SC13BQ!F55</f>
        <v>0</v>
      </c>
      <c r="H58" s="331">
        <f>SC13BQ!G55</f>
        <v>0</v>
      </c>
      <c r="I58" s="148">
        <f t="shared" si="8"/>
        <v>0</v>
      </c>
      <c r="J58" s="34" t="str">
        <f t="shared" si="3"/>
        <v/>
      </c>
      <c r="K58" s="367">
        <f>SC13BQ!J55</f>
        <v>0</v>
      </c>
    </row>
    <row r="59" spans="1:11" ht="12.75" customHeight="1" x14ac:dyDescent="0.25">
      <c r="A59" s="606" t="s">
        <v>1126</v>
      </c>
      <c r="B59" s="90"/>
      <c r="C59" s="366">
        <f>SC13BQ!B56</f>
        <v>0</v>
      </c>
      <c r="D59" s="366">
        <f>SC13BQ!C56</f>
        <v>0</v>
      </c>
      <c r="E59" s="704">
        <f>SC13BQ!D56</f>
        <v>0</v>
      </c>
      <c r="F59" s="331">
        <f>SC13BQ!E56</f>
        <v>0</v>
      </c>
      <c r="G59" s="704">
        <f>SC13BQ!F56</f>
        <v>0</v>
      </c>
      <c r="H59" s="331">
        <f>SC13BQ!G56</f>
        <v>0</v>
      </c>
      <c r="I59" s="148">
        <f t="shared" si="8"/>
        <v>0</v>
      </c>
      <c r="J59" s="34" t="str">
        <f t="shared" si="3"/>
        <v/>
      </c>
      <c r="K59" s="367">
        <f>SC13BQ!J56</f>
        <v>0</v>
      </c>
    </row>
    <row r="60" spans="1:11" ht="12.75" customHeight="1" x14ac:dyDescent="0.25">
      <c r="A60" s="606" t="s">
        <v>1132</v>
      </c>
      <c r="B60" s="90"/>
      <c r="C60" s="366">
        <f>SC13BQ!B57</f>
        <v>0</v>
      </c>
      <c r="D60" s="366">
        <f>SC13BQ!C57</f>
        <v>0</v>
      </c>
      <c r="E60" s="704">
        <f>SC13BQ!D57</f>
        <v>0</v>
      </c>
      <c r="F60" s="331">
        <f>SC13BQ!E57</f>
        <v>0</v>
      </c>
      <c r="G60" s="704">
        <f>SC13BQ!F57</f>
        <v>0</v>
      </c>
      <c r="H60" s="331">
        <f>SC13BQ!G57</f>
        <v>0</v>
      </c>
      <c r="I60" s="148">
        <f t="shared" si="8"/>
        <v>0</v>
      </c>
      <c r="J60" s="34" t="str">
        <f t="shared" si="3"/>
        <v/>
      </c>
      <c r="K60" s="367">
        <f>SC13BQ!J57</f>
        <v>0</v>
      </c>
    </row>
    <row r="61" spans="1:11" ht="12.75" customHeight="1" x14ac:dyDescent="0.25">
      <c r="A61" s="606" t="s">
        <v>1135</v>
      </c>
      <c r="B61" s="90"/>
      <c r="C61" s="366">
        <f>SC13BQ!B58</f>
        <v>0</v>
      </c>
      <c r="D61" s="366">
        <f>SC13BQ!C58</f>
        <v>0</v>
      </c>
      <c r="E61" s="704">
        <f>SC13BQ!D58</f>
        <v>0</v>
      </c>
      <c r="F61" s="331">
        <f>SC13BQ!E58</f>
        <v>0</v>
      </c>
      <c r="G61" s="704">
        <f>SC13BQ!F58</f>
        <v>0</v>
      </c>
      <c r="H61" s="331">
        <f>SC13BQ!G58</f>
        <v>0</v>
      </c>
      <c r="I61" s="148">
        <f t="shared" si="8"/>
        <v>0</v>
      </c>
      <c r="J61" s="34" t="str">
        <f t="shared" si="3"/>
        <v/>
      </c>
      <c r="K61" s="367">
        <f>SC13BQ!J58</f>
        <v>0</v>
      </c>
    </row>
    <row r="62" spans="1:11" ht="12.75" customHeight="1" x14ac:dyDescent="0.25">
      <c r="A62" s="606" t="s">
        <v>1122</v>
      </c>
      <c r="B62" s="90"/>
      <c r="C62" s="366">
        <f>SC13BQ!B59</f>
        <v>0</v>
      </c>
      <c r="D62" s="366">
        <f>SC13BQ!C59</f>
        <v>0</v>
      </c>
      <c r="E62" s="704">
        <f>SC13BQ!D59</f>
        <v>0</v>
      </c>
      <c r="F62" s="331">
        <f>SC13BQ!E59</f>
        <v>0</v>
      </c>
      <c r="G62" s="704">
        <f>SC13BQ!F59</f>
        <v>0</v>
      </c>
      <c r="H62" s="331">
        <f>SC13BQ!G59</f>
        <v>0</v>
      </c>
      <c r="I62" s="148">
        <f t="shared" si="8"/>
        <v>0</v>
      </c>
      <c r="J62" s="34" t="str">
        <f t="shared" si="3"/>
        <v/>
      </c>
      <c r="K62" s="367">
        <f>SC13BQ!J59</f>
        <v>0</v>
      </c>
    </row>
    <row r="63" spans="1:11" ht="12.75" customHeight="1" x14ac:dyDescent="0.25">
      <c r="A63" s="30" t="s">
        <v>1162</v>
      </c>
      <c r="B63" s="90"/>
      <c r="C63" s="74">
        <f t="shared" ref="C63:H63" si="11">SUM(C64:C68)</f>
        <v>626460.18000000005</v>
      </c>
      <c r="D63" s="36">
        <f t="shared" si="11"/>
        <v>0</v>
      </c>
      <c r="E63" s="33">
        <f t="shared" si="11"/>
        <v>0</v>
      </c>
      <c r="F63" s="34">
        <f t="shared" si="11"/>
        <v>0</v>
      </c>
      <c r="G63" s="33">
        <f t="shared" si="11"/>
        <v>0</v>
      </c>
      <c r="H63" s="34">
        <f t="shared" si="11"/>
        <v>0</v>
      </c>
      <c r="I63" s="148">
        <f t="shared" si="8"/>
        <v>0</v>
      </c>
      <c r="J63" s="34" t="str">
        <f t="shared" si="3"/>
        <v/>
      </c>
      <c r="K63" s="35">
        <f>SUM(K64:K68)</f>
        <v>0</v>
      </c>
    </row>
    <row r="64" spans="1:11" ht="12.75" customHeight="1" x14ac:dyDescent="0.25">
      <c r="A64" s="606" t="s">
        <v>1163</v>
      </c>
      <c r="B64" s="90"/>
      <c r="C64" s="366">
        <f>SC13BQ!B61</f>
        <v>0</v>
      </c>
      <c r="D64" s="366">
        <f>SC13BQ!C61</f>
        <v>0</v>
      </c>
      <c r="E64" s="704">
        <f>SC13BQ!D61</f>
        <v>0</v>
      </c>
      <c r="F64" s="331">
        <f>SC13BQ!E61</f>
        <v>0</v>
      </c>
      <c r="G64" s="704">
        <f>SC13BQ!F61</f>
        <v>0</v>
      </c>
      <c r="H64" s="331">
        <f>SC13BQ!G61</f>
        <v>0</v>
      </c>
      <c r="I64" s="148">
        <f t="shared" si="8"/>
        <v>0</v>
      </c>
      <c r="J64" s="34" t="str">
        <f t="shared" si="3"/>
        <v/>
      </c>
      <c r="K64" s="367">
        <f>SC13BQ!J61</f>
        <v>0</v>
      </c>
    </row>
    <row r="65" spans="1:11" ht="12.75" customHeight="1" x14ac:dyDescent="0.25">
      <c r="A65" s="606" t="s">
        <v>1164</v>
      </c>
      <c r="B65" s="90"/>
      <c r="C65" s="366">
        <f>SC13BQ!B62</f>
        <v>626460.18000000005</v>
      </c>
      <c r="D65" s="366">
        <f>SC13BQ!C62</f>
        <v>0</v>
      </c>
      <c r="E65" s="704">
        <f>SC13BQ!D62</f>
        <v>0</v>
      </c>
      <c r="F65" s="331">
        <f>SC13BQ!E62</f>
        <v>0</v>
      </c>
      <c r="G65" s="704">
        <f>SC13BQ!F62</f>
        <v>0</v>
      </c>
      <c r="H65" s="331">
        <f>SC13BQ!G62</f>
        <v>0</v>
      </c>
      <c r="I65" s="148">
        <f t="shared" si="8"/>
        <v>0</v>
      </c>
      <c r="J65" s="34" t="str">
        <f t="shared" si="3"/>
        <v/>
      </c>
      <c r="K65" s="367">
        <f>SC13BQ!J62</f>
        <v>0</v>
      </c>
    </row>
    <row r="66" spans="1:11" ht="12.75" customHeight="1" x14ac:dyDescent="0.25">
      <c r="A66" s="606" t="s">
        <v>1165</v>
      </c>
      <c r="B66" s="90"/>
      <c r="C66" s="366">
        <f>SC13BQ!B63</f>
        <v>0</v>
      </c>
      <c r="D66" s="366">
        <f>SC13BQ!C63</f>
        <v>0</v>
      </c>
      <c r="E66" s="704">
        <f>SC13BQ!D63</f>
        <v>0</v>
      </c>
      <c r="F66" s="331">
        <f>SC13BQ!E63</f>
        <v>0</v>
      </c>
      <c r="G66" s="704">
        <f>SC13BQ!F63</f>
        <v>0</v>
      </c>
      <c r="H66" s="331">
        <f>SC13BQ!G63</f>
        <v>0</v>
      </c>
      <c r="I66" s="148">
        <f t="shared" si="8"/>
        <v>0</v>
      </c>
      <c r="J66" s="34" t="str">
        <f t="shared" si="3"/>
        <v/>
      </c>
      <c r="K66" s="367">
        <f>SC13BQ!J63</f>
        <v>0</v>
      </c>
    </row>
    <row r="67" spans="1:11" ht="12.75" customHeight="1" x14ac:dyDescent="0.25">
      <c r="A67" s="606" t="s">
        <v>1166</v>
      </c>
      <c r="B67" s="90"/>
      <c r="C67" s="366">
        <f>SC13BQ!B64</f>
        <v>0</v>
      </c>
      <c r="D67" s="366">
        <f>SC13BQ!C64</f>
        <v>0</v>
      </c>
      <c r="E67" s="704">
        <f>SC13BQ!D64</f>
        <v>0</v>
      </c>
      <c r="F67" s="331">
        <f>SC13BQ!E64</f>
        <v>0</v>
      </c>
      <c r="G67" s="704">
        <f>SC13BQ!F64</f>
        <v>0</v>
      </c>
      <c r="H67" s="331">
        <f>SC13BQ!G64</f>
        <v>0</v>
      </c>
      <c r="I67" s="148">
        <f t="shared" si="8"/>
        <v>0</v>
      </c>
      <c r="J67" s="34" t="str">
        <f t="shared" si="3"/>
        <v/>
      </c>
      <c r="K67" s="367">
        <f>SC13BQ!J64</f>
        <v>0</v>
      </c>
    </row>
    <row r="68" spans="1:11" ht="12.75" customHeight="1" x14ac:dyDescent="0.25">
      <c r="A68" s="606" t="s">
        <v>1122</v>
      </c>
      <c r="B68" s="90"/>
      <c r="C68" s="366">
        <f>SC13BQ!B65</f>
        <v>0</v>
      </c>
      <c r="D68" s="366">
        <f>SC13BQ!C65</f>
        <v>0</v>
      </c>
      <c r="E68" s="704">
        <f>SC13BQ!D65</f>
        <v>0</v>
      </c>
      <c r="F68" s="331">
        <f>SC13BQ!E65</f>
        <v>0</v>
      </c>
      <c r="G68" s="704">
        <f>SC13BQ!F65</f>
        <v>0</v>
      </c>
      <c r="H68" s="331">
        <f>SC13BQ!G65</f>
        <v>0</v>
      </c>
      <c r="I68" s="148">
        <f t="shared" si="8"/>
        <v>0</v>
      </c>
      <c r="J68" s="34" t="str">
        <f t="shared" si="3"/>
        <v/>
      </c>
      <c r="K68" s="367">
        <f>SC13BQ!J65</f>
        <v>0</v>
      </c>
    </row>
    <row r="69" spans="1:11" ht="12.75" customHeight="1" x14ac:dyDescent="0.25">
      <c r="A69" s="30" t="s">
        <v>1167</v>
      </c>
      <c r="B69" s="90"/>
      <c r="C69" s="74">
        <f t="shared" ref="C69:H69" si="12">SUM(C70:C73)</f>
        <v>0</v>
      </c>
      <c r="D69" s="36">
        <f t="shared" si="12"/>
        <v>0</v>
      </c>
      <c r="E69" s="33">
        <f t="shared" si="12"/>
        <v>0</v>
      </c>
      <c r="F69" s="34">
        <f t="shared" si="12"/>
        <v>0</v>
      </c>
      <c r="G69" s="33">
        <f t="shared" si="12"/>
        <v>879203</v>
      </c>
      <c r="H69" s="34">
        <f t="shared" si="12"/>
        <v>0</v>
      </c>
      <c r="I69" s="148">
        <f t="shared" si="8"/>
        <v>-879203</v>
      </c>
      <c r="J69" s="34" t="str">
        <f t="shared" si="3"/>
        <v/>
      </c>
      <c r="K69" s="35">
        <f>SUM(K70:K73)</f>
        <v>0</v>
      </c>
    </row>
    <row r="70" spans="1:11" ht="12.75" customHeight="1" x14ac:dyDescent="0.25">
      <c r="A70" s="606" t="s">
        <v>1168</v>
      </c>
      <c r="B70" s="90"/>
      <c r="C70" s="366">
        <f>SC13BQ!B67</f>
        <v>0</v>
      </c>
      <c r="D70" s="366">
        <f>SC13BQ!C67</f>
        <v>0</v>
      </c>
      <c r="E70" s="704">
        <f>SC13BQ!D67</f>
        <v>0</v>
      </c>
      <c r="F70" s="331">
        <f>SC13BQ!E67</f>
        <v>0</v>
      </c>
      <c r="G70" s="704">
        <f>SC13BQ!F67</f>
        <v>879203</v>
      </c>
      <c r="H70" s="331">
        <f>SC13BQ!G67</f>
        <v>0</v>
      </c>
      <c r="I70" s="148">
        <f t="shared" si="8"/>
        <v>-879203</v>
      </c>
      <c r="J70" s="34" t="str">
        <f t="shared" si="3"/>
        <v/>
      </c>
      <c r="K70" s="367">
        <f>SC13BQ!J67</f>
        <v>0</v>
      </c>
    </row>
    <row r="71" spans="1:11" ht="12.75" customHeight="1" x14ac:dyDescent="0.25">
      <c r="A71" s="606" t="s">
        <v>1169</v>
      </c>
      <c r="B71" s="90"/>
      <c r="C71" s="366">
        <f>SC13BQ!B68</f>
        <v>0</v>
      </c>
      <c r="D71" s="366">
        <f>SC13BQ!C68</f>
        <v>0</v>
      </c>
      <c r="E71" s="704">
        <f>SC13BQ!D68</f>
        <v>0</v>
      </c>
      <c r="F71" s="331">
        <f>SC13BQ!E68</f>
        <v>0</v>
      </c>
      <c r="G71" s="704">
        <f>SC13BQ!F68</f>
        <v>0</v>
      </c>
      <c r="H71" s="331">
        <f>SC13BQ!G68</f>
        <v>0</v>
      </c>
      <c r="I71" s="148">
        <f t="shared" si="8"/>
        <v>0</v>
      </c>
      <c r="J71" s="34" t="str">
        <f t="shared" si="3"/>
        <v/>
      </c>
      <c r="K71" s="367">
        <f>SC13BQ!J68</f>
        <v>0</v>
      </c>
    </row>
    <row r="72" spans="1:11" ht="12.75" customHeight="1" x14ac:dyDescent="0.25">
      <c r="A72" s="606" t="s">
        <v>1170</v>
      </c>
      <c r="B72" s="90"/>
      <c r="C72" s="366">
        <f>SC13BQ!B69</f>
        <v>0</v>
      </c>
      <c r="D72" s="366">
        <f>SC13BQ!C69</f>
        <v>0</v>
      </c>
      <c r="E72" s="704">
        <f>SC13BQ!D69</f>
        <v>0</v>
      </c>
      <c r="F72" s="331">
        <f>SC13BQ!E69</f>
        <v>0</v>
      </c>
      <c r="G72" s="704">
        <f>SC13BQ!F69</f>
        <v>0</v>
      </c>
      <c r="H72" s="331">
        <f>SC13BQ!G69</f>
        <v>0</v>
      </c>
      <c r="I72" s="148">
        <f t="shared" si="8"/>
        <v>0</v>
      </c>
      <c r="J72" s="34" t="str">
        <f t="shared" si="3"/>
        <v/>
      </c>
      <c r="K72" s="367">
        <f>SC13BQ!J69</f>
        <v>0</v>
      </c>
    </row>
    <row r="73" spans="1:11" ht="12.75" customHeight="1" x14ac:dyDescent="0.25">
      <c r="A73" s="606" t="s">
        <v>1122</v>
      </c>
      <c r="B73" s="90"/>
      <c r="C73" s="366">
        <f>SC13BQ!B70</f>
        <v>0</v>
      </c>
      <c r="D73" s="366">
        <f>SC13BQ!C70</f>
        <v>0</v>
      </c>
      <c r="E73" s="704">
        <f>SC13BQ!D70</f>
        <v>0</v>
      </c>
      <c r="F73" s="331">
        <f>SC13BQ!E70</f>
        <v>0</v>
      </c>
      <c r="G73" s="704">
        <f>SC13BQ!F70</f>
        <v>0</v>
      </c>
      <c r="H73" s="331">
        <f>SC13BQ!G70</f>
        <v>0</v>
      </c>
      <c r="I73" s="148">
        <f t="shared" si="8"/>
        <v>0</v>
      </c>
      <c r="J73" s="34" t="str">
        <f t="shared" ref="J73:J136" si="13">IF(H73=0,"",I73/H73)</f>
        <v/>
      </c>
      <c r="K73" s="367">
        <f>SC13BQ!J70</f>
        <v>0</v>
      </c>
    </row>
    <row r="74" spans="1:11" ht="5.25" customHeight="1" x14ac:dyDescent="0.25">
      <c r="A74" s="606"/>
      <c r="B74" s="90"/>
      <c r="C74" s="74"/>
      <c r="D74" s="36"/>
      <c r="E74" s="33"/>
      <c r="F74" s="34"/>
      <c r="G74" s="33"/>
      <c r="H74" s="34"/>
      <c r="I74" s="148">
        <f t="shared" si="8"/>
        <v>0</v>
      </c>
      <c r="J74" s="34" t="str">
        <f t="shared" si="13"/>
        <v/>
      </c>
      <c r="K74" s="35"/>
    </row>
    <row r="75" spans="1:11" ht="12.75" customHeight="1" x14ac:dyDescent="0.25">
      <c r="A75" s="29" t="s">
        <v>1191</v>
      </c>
      <c r="B75" s="90"/>
      <c r="C75" s="220">
        <f t="shared" ref="C75:H75" si="14">+C76+C99</f>
        <v>12352766.77</v>
      </c>
      <c r="D75" s="297">
        <f t="shared" si="14"/>
        <v>2650000</v>
      </c>
      <c r="E75" s="737">
        <f t="shared" si="14"/>
        <v>14450000</v>
      </c>
      <c r="F75" s="221">
        <f t="shared" si="14"/>
        <v>16197513.48</v>
      </c>
      <c r="G75" s="737">
        <f t="shared" si="14"/>
        <v>28105128.809999999</v>
      </c>
      <c r="H75" s="221">
        <f t="shared" si="14"/>
        <v>13000000</v>
      </c>
      <c r="I75" s="148">
        <f t="shared" si="8"/>
        <v>-15105128.809999999</v>
      </c>
      <c r="J75" s="34">
        <f t="shared" si="13"/>
        <v>-1.1619329853846152</v>
      </c>
      <c r="K75" s="734">
        <f>+K76+K99</f>
        <v>14450000</v>
      </c>
    </row>
    <row r="76" spans="1:11" ht="12.75" customHeight="1" x14ac:dyDescent="0.25">
      <c r="A76" s="30" t="s">
        <v>1171</v>
      </c>
      <c r="B76" s="90"/>
      <c r="C76" s="74">
        <f t="shared" ref="C76:H76" si="15">SUM(C77:C98)</f>
        <v>65167.58</v>
      </c>
      <c r="D76" s="36">
        <f t="shared" si="15"/>
        <v>400000</v>
      </c>
      <c r="E76" s="33">
        <f t="shared" si="15"/>
        <v>400000</v>
      </c>
      <c r="F76" s="34">
        <f t="shared" si="15"/>
        <v>0</v>
      </c>
      <c r="G76" s="33">
        <f t="shared" si="15"/>
        <v>120450</v>
      </c>
      <c r="H76" s="34">
        <f t="shared" si="15"/>
        <v>200000</v>
      </c>
      <c r="I76" s="148">
        <f t="shared" si="1"/>
        <v>79550</v>
      </c>
      <c r="J76" s="34">
        <f t="shared" si="13"/>
        <v>0.39774999999999999</v>
      </c>
      <c r="K76" s="35">
        <f>SUM(K77:K98)</f>
        <v>400000</v>
      </c>
    </row>
    <row r="77" spans="1:11" ht="12.75" customHeight="1" x14ac:dyDescent="0.25">
      <c r="A77" s="606" t="s">
        <v>1172</v>
      </c>
      <c r="B77" s="90"/>
      <c r="C77" s="366">
        <f>SC13BQ!B73</f>
        <v>22667.58</v>
      </c>
      <c r="D77" s="366">
        <f>SC13BQ!C73</f>
        <v>0</v>
      </c>
      <c r="E77" s="704">
        <f>SC13BQ!D73</f>
        <v>0</v>
      </c>
      <c r="F77" s="331">
        <f>SC13BQ!E73</f>
        <v>0</v>
      </c>
      <c r="G77" s="704">
        <f>SC13BQ!F73</f>
        <v>0</v>
      </c>
      <c r="H77" s="331">
        <f>SC13BQ!G73</f>
        <v>0</v>
      </c>
      <c r="I77" s="148">
        <f t="shared" ref="I77:I117" si="16">H77-G77</f>
        <v>0</v>
      </c>
      <c r="J77" s="34" t="str">
        <f t="shared" si="13"/>
        <v/>
      </c>
      <c r="K77" s="367">
        <f>SC13BQ!J73</f>
        <v>0</v>
      </c>
    </row>
    <row r="78" spans="1:11" ht="12.75" customHeight="1" x14ac:dyDescent="0.25">
      <c r="A78" s="606" t="s">
        <v>1173</v>
      </c>
      <c r="B78" s="90"/>
      <c r="C78" s="366">
        <f>SC13BQ!B74</f>
        <v>0</v>
      </c>
      <c r="D78" s="366">
        <f>SC13BQ!C74</f>
        <v>0</v>
      </c>
      <c r="E78" s="704">
        <f>SC13BQ!D74</f>
        <v>0</v>
      </c>
      <c r="F78" s="331">
        <f>SC13BQ!E74</f>
        <v>0</v>
      </c>
      <c r="G78" s="704">
        <f>SC13BQ!F74</f>
        <v>0</v>
      </c>
      <c r="H78" s="331">
        <f>SC13BQ!G74</f>
        <v>0</v>
      </c>
      <c r="I78" s="148">
        <f t="shared" si="16"/>
        <v>0</v>
      </c>
      <c r="J78" s="34" t="str">
        <f t="shared" si="13"/>
        <v/>
      </c>
      <c r="K78" s="367">
        <f>SC13BQ!J74</f>
        <v>0</v>
      </c>
    </row>
    <row r="79" spans="1:11" ht="12.75" customHeight="1" x14ac:dyDescent="0.25">
      <c r="A79" s="606" t="s">
        <v>1174</v>
      </c>
      <c r="B79" s="90"/>
      <c r="C79" s="366">
        <f>SC13BQ!B75</f>
        <v>0</v>
      </c>
      <c r="D79" s="366">
        <f>SC13BQ!C75</f>
        <v>0</v>
      </c>
      <c r="E79" s="704">
        <f>SC13BQ!D75</f>
        <v>0</v>
      </c>
      <c r="F79" s="331">
        <f>SC13BQ!E75</f>
        <v>0</v>
      </c>
      <c r="G79" s="704">
        <f>SC13BQ!F75</f>
        <v>0</v>
      </c>
      <c r="H79" s="331">
        <f>SC13BQ!G75</f>
        <v>0</v>
      </c>
      <c r="I79" s="148">
        <f t="shared" si="16"/>
        <v>0</v>
      </c>
      <c r="J79" s="34" t="str">
        <f t="shared" si="13"/>
        <v/>
      </c>
      <c r="K79" s="367">
        <f>SC13BQ!J75</f>
        <v>0</v>
      </c>
    </row>
    <row r="80" spans="1:11" ht="12.75" customHeight="1" x14ac:dyDescent="0.25">
      <c r="A80" s="606" t="s">
        <v>1175</v>
      </c>
      <c r="B80" s="90"/>
      <c r="C80" s="366">
        <f>SC13BQ!B76</f>
        <v>0</v>
      </c>
      <c r="D80" s="366">
        <f>SC13BQ!C76</f>
        <v>0</v>
      </c>
      <c r="E80" s="704">
        <f>SC13BQ!D76</f>
        <v>0</v>
      </c>
      <c r="F80" s="331">
        <f>SC13BQ!E76</f>
        <v>0</v>
      </c>
      <c r="G80" s="704">
        <f>SC13BQ!F76</f>
        <v>0</v>
      </c>
      <c r="H80" s="331">
        <f>SC13BQ!G76</f>
        <v>0</v>
      </c>
      <c r="I80" s="148">
        <f t="shared" si="16"/>
        <v>0</v>
      </c>
      <c r="J80" s="34" t="str">
        <f t="shared" si="13"/>
        <v/>
      </c>
      <c r="K80" s="367">
        <f>SC13BQ!J76</f>
        <v>0</v>
      </c>
    </row>
    <row r="81" spans="1:11" ht="12.75" customHeight="1" x14ac:dyDescent="0.25">
      <c r="A81" s="606" t="s">
        <v>1176</v>
      </c>
      <c r="B81" s="90"/>
      <c r="C81" s="366">
        <f>SC13BQ!B77</f>
        <v>0</v>
      </c>
      <c r="D81" s="366">
        <f>SC13BQ!C77</f>
        <v>0</v>
      </c>
      <c r="E81" s="704">
        <f>SC13BQ!D77</f>
        <v>0</v>
      </c>
      <c r="F81" s="331">
        <f>SC13BQ!E77</f>
        <v>0</v>
      </c>
      <c r="G81" s="704">
        <f>SC13BQ!F77</f>
        <v>0</v>
      </c>
      <c r="H81" s="331">
        <f>SC13BQ!G77</f>
        <v>0</v>
      </c>
      <c r="I81" s="148">
        <f t="shared" si="16"/>
        <v>0</v>
      </c>
      <c r="J81" s="34" t="str">
        <f t="shared" si="13"/>
        <v/>
      </c>
      <c r="K81" s="367">
        <f>SC13BQ!J77</f>
        <v>0</v>
      </c>
    </row>
    <row r="82" spans="1:11" ht="12.75" customHeight="1" x14ac:dyDescent="0.25">
      <c r="A82" s="606" t="s">
        <v>1177</v>
      </c>
      <c r="B82" s="90"/>
      <c r="C82" s="366">
        <f>SC13BQ!B78</f>
        <v>0</v>
      </c>
      <c r="D82" s="366">
        <f>SC13BQ!C78</f>
        <v>0</v>
      </c>
      <c r="E82" s="704">
        <f>SC13BQ!D78</f>
        <v>0</v>
      </c>
      <c r="F82" s="331">
        <f>SC13BQ!E78</f>
        <v>0</v>
      </c>
      <c r="G82" s="704">
        <f>SC13BQ!F78</f>
        <v>0</v>
      </c>
      <c r="H82" s="331">
        <f>SC13BQ!G78</f>
        <v>0</v>
      </c>
      <c r="I82" s="148">
        <f t="shared" si="16"/>
        <v>0</v>
      </c>
      <c r="J82" s="34" t="str">
        <f t="shared" si="13"/>
        <v/>
      </c>
      <c r="K82" s="367">
        <f>SC13BQ!J78</f>
        <v>0</v>
      </c>
    </row>
    <row r="83" spans="1:11" ht="12.75" customHeight="1" x14ac:dyDescent="0.25">
      <c r="A83" s="606" t="s">
        <v>1178</v>
      </c>
      <c r="B83" s="90"/>
      <c r="C83" s="366">
        <f>SC13BQ!B79</f>
        <v>0</v>
      </c>
      <c r="D83" s="366">
        <f>SC13BQ!C79</f>
        <v>0</v>
      </c>
      <c r="E83" s="704">
        <f>SC13BQ!D79</f>
        <v>0</v>
      </c>
      <c r="F83" s="331">
        <f>SC13BQ!E79</f>
        <v>0</v>
      </c>
      <c r="G83" s="704">
        <f>SC13BQ!F79</f>
        <v>0</v>
      </c>
      <c r="H83" s="331">
        <f>SC13BQ!G79</f>
        <v>0</v>
      </c>
      <c r="I83" s="148">
        <f t="shared" si="16"/>
        <v>0</v>
      </c>
      <c r="J83" s="34" t="str">
        <f t="shared" si="13"/>
        <v/>
      </c>
      <c r="K83" s="367">
        <f>SC13BQ!J79</f>
        <v>0</v>
      </c>
    </row>
    <row r="84" spans="1:11" ht="12.75" customHeight="1" x14ac:dyDescent="0.25">
      <c r="A84" s="606" t="s">
        <v>1179</v>
      </c>
      <c r="B84" s="90"/>
      <c r="C84" s="366">
        <f>SC13BQ!B80</f>
        <v>0</v>
      </c>
      <c r="D84" s="366">
        <f>SC13BQ!C80</f>
        <v>0</v>
      </c>
      <c r="E84" s="704">
        <f>SC13BQ!D80</f>
        <v>0</v>
      </c>
      <c r="F84" s="331">
        <f>SC13BQ!E80</f>
        <v>0</v>
      </c>
      <c r="G84" s="704">
        <f>SC13BQ!F80</f>
        <v>0</v>
      </c>
      <c r="H84" s="331">
        <f>SC13BQ!G80</f>
        <v>0</v>
      </c>
      <c r="I84" s="148">
        <f t="shared" si="16"/>
        <v>0</v>
      </c>
      <c r="J84" s="34" t="str">
        <f t="shared" si="13"/>
        <v/>
      </c>
      <c r="K84" s="367">
        <f>SC13BQ!J80</f>
        <v>0</v>
      </c>
    </row>
    <row r="85" spans="1:11" ht="12.75" customHeight="1" x14ac:dyDescent="0.25">
      <c r="A85" s="606" t="s">
        <v>1055</v>
      </c>
      <c r="B85" s="90"/>
      <c r="C85" s="366">
        <f>SC13BQ!B81</f>
        <v>0</v>
      </c>
      <c r="D85" s="366">
        <f>SC13BQ!C81</f>
        <v>0</v>
      </c>
      <c r="E85" s="704">
        <f>SC13BQ!D81</f>
        <v>0</v>
      </c>
      <c r="F85" s="331">
        <f>SC13BQ!E81</f>
        <v>0</v>
      </c>
      <c r="G85" s="704">
        <f>SC13BQ!F81</f>
        <v>0</v>
      </c>
      <c r="H85" s="331">
        <f>SC13BQ!G81</f>
        <v>0</v>
      </c>
      <c r="I85" s="148">
        <f t="shared" si="16"/>
        <v>0</v>
      </c>
      <c r="J85" s="34" t="str">
        <f t="shared" si="13"/>
        <v/>
      </c>
      <c r="K85" s="367">
        <f>SC13BQ!J81</f>
        <v>0</v>
      </c>
    </row>
    <row r="86" spans="1:11" ht="12.75" customHeight="1" x14ac:dyDescent="0.25">
      <c r="A86" s="606" t="s">
        <v>508</v>
      </c>
      <c r="B86" s="90"/>
      <c r="C86" s="366">
        <f>SC13BQ!B82</f>
        <v>0</v>
      </c>
      <c r="D86" s="366">
        <f>SC13BQ!C82</f>
        <v>0</v>
      </c>
      <c r="E86" s="704">
        <f>SC13BQ!D82</f>
        <v>0</v>
      </c>
      <c r="F86" s="331">
        <f>SC13BQ!E82</f>
        <v>0</v>
      </c>
      <c r="G86" s="704">
        <f>SC13BQ!F82</f>
        <v>120450</v>
      </c>
      <c r="H86" s="331">
        <f>SC13BQ!G82</f>
        <v>0</v>
      </c>
      <c r="I86" s="148">
        <f t="shared" si="16"/>
        <v>-120450</v>
      </c>
      <c r="J86" s="34" t="str">
        <f t="shared" si="13"/>
        <v/>
      </c>
      <c r="K86" s="367">
        <f>SC13BQ!J82</f>
        <v>0</v>
      </c>
    </row>
    <row r="87" spans="1:11" ht="12.75" customHeight="1" x14ac:dyDescent="0.25">
      <c r="A87" s="606" t="s">
        <v>1180</v>
      </c>
      <c r="B87" s="90"/>
      <c r="C87" s="366">
        <f>SC13BQ!B83</f>
        <v>42500</v>
      </c>
      <c r="D87" s="366">
        <f>SC13BQ!C83</f>
        <v>400000</v>
      </c>
      <c r="E87" s="704">
        <f>SC13BQ!D83</f>
        <v>400000</v>
      </c>
      <c r="F87" s="331">
        <f>SC13BQ!E83</f>
        <v>0</v>
      </c>
      <c r="G87" s="704">
        <f>SC13BQ!F83</f>
        <v>0</v>
      </c>
      <c r="H87" s="331">
        <f>SC13BQ!G83</f>
        <v>200000</v>
      </c>
      <c r="I87" s="148">
        <f t="shared" si="16"/>
        <v>200000</v>
      </c>
      <c r="J87" s="34">
        <f t="shared" si="13"/>
        <v>1</v>
      </c>
      <c r="K87" s="367">
        <f>SC13BQ!J83</f>
        <v>400000</v>
      </c>
    </row>
    <row r="88" spans="1:11" ht="12.75" customHeight="1" x14ac:dyDescent="0.25">
      <c r="A88" s="606" t="s">
        <v>148</v>
      </c>
      <c r="B88" s="90"/>
      <c r="C88" s="366">
        <f>SC13BQ!B84</f>
        <v>0</v>
      </c>
      <c r="D88" s="366">
        <f>SC13BQ!C84</f>
        <v>0</v>
      </c>
      <c r="E88" s="704">
        <f>SC13BQ!D84</f>
        <v>0</v>
      </c>
      <c r="F88" s="331">
        <f>SC13BQ!E84</f>
        <v>0</v>
      </c>
      <c r="G88" s="704">
        <f>SC13BQ!F84</f>
        <v>0</v>
      </c>
      <c r="H88" s="331">
        <f>SC13BQ!G84</f>
        <v>0</v>
      </c>
      <c r="I88" s="148">
        <f t="shared" si="16"/>
        <v>0</v>
      </c>
      <c r="J88" s="34" t="str">
        <f t="shared" si="13"/>
        <v/>
      </c>
      <c r="K88" s="367">
        <f>SC13BQ!J84</f>
        <v>0</v>
      </c>
    </row>
    <row r="89" spans="1:11" ht="12.75" customHeight="1" x14ac:dyDescent="0.25">
      <c r="A89" s="606" t="s">
        <v>1181</v>
      </c>
      <c r="B89" s="90"/>
      <c r="C89" s="366">
        <f>SC13BQ!B85</f>
        <v>0</v>
      </c>
      <c r="D89" s="366">
        <f>SC13BQ!C85</f>
        <v>0</v>
      </c>
      <c r="E89" s="704">
        <f>SC13BQ!D85</f>
        <v>0</v>
      </c>
      <c r="F89" s="331">
        <f>SC13BQ!E85</f>
        <v>0</v>
      </c>
      <c r="G89" s="704">
        <f>SC13BQ!F85</f>
        <v>0</v>
      </c>
      <c r="H89" s="331">
        <f>SC13BQ!G85</f>
        <v>0</v>
      </c>
      <c r="I89" s="148">
        <f t="shared" si="16"/>
        <v>0</v>
      </c>
      <c r="J89" s="34" t="str">
        <f t="shared" si="13"/>
        <v/>
      </c>
      <c r="K89" s="367">
        <f>SC13BQ!J85</f>
        <v>0</v>
      </c>
    </row>
    <row r="90" spans="1:11" ht="12.75" customHeight="1" x14ac:dyDescent="0.25">
      <c r="A90" s="606" t="s">
        <v>1182</v>
      </c>
      <c r="B90" s="90"/>
      <c r="C90" s="366">
        <f>SC13BQ!B86</f>
        <v>0</v>
      </c>
      <c r="D90" s="366">
        <f>SC13BQ!C86</f>
        <v>0</v>
      </c>
      <c r="E90" s="704">
        <f>SC13BQ!D86</f>
        <v>0</v>
      </c>
      <c r="F90" s="331">
        <f>SC13BQ!E86</f>
        <v>0</v>
      </c>
      <c r="G90" s="704">
        <f>SC13BQ!F86</f>
        <v>0</v>
      </c>
      <c r="H90" s="331">
        <f>SC13BQ!G86</f>
        <v>0</v>
      </c>
      <c r="I90" s="148">
        <f t="shared" si="16"/>
        <v>0</v>
      </c>
      <c r="J90" s="34" t="str">
        <f t="shared" si="13"/>
        <v/>
      </c>
      <c r="K90" s="367">
        <f>SC13BQ!J86</f>
        <v>0</v>
      </c>
    </row>
    <row r="91" spans="1:11" ht="12.75" customHeight="1" x14ac:dyDescent="0.25">
      <c r="A91" s="606" t="s">
        <v>1183</v>
      </c>
      <c r="B91" s="90"/>
      <c r="C91" s="366">
        <f>SC13BQ!B87</f>
        <v>0</v>
      </c>
      <c r="D91" s="366">
        <f>SC13BQ!C87</f>
        <v>0</v>
      </c>
      <c r="E91" s="704">
        <f>SC13BQ!D87</f>
        <v>0</v>
      </c>
      <c r="F91" s="331">
        <f>SC13BQ!E87</f>
        <v>0</v>
      </c>
      <c r="G91" s="704">
        <f>SC13BQ!F87</f>
        <v>0</v>
      </c>
      <c r="H91" s="331">
        <f>SC13BQ!G87</f>
        <v>0</v>
      </c>
      <c r="I91" s="148">
        <f t="shared" si="16"/>
        <v>0</v>
      </c>
      <c r="J91" s="34" t="str">
        <f t="shared" si="13"/>
        <v/>
      </c>
      <c r="K91" s="367">
        <f>SC13BQ!J87</f>
        <v>0</v>
      </c>
    </row>
    <row r="92" spans="1:11" ht="12.75" customHeight="1" x14ac:dyDescent="0.25">
      <c r="A92" s="606" t="s">
        <v>1184</v>
      </c>
      <c r="B92" s="90"/>
      <c r="C92" s="366">
        <f>SC13BQ!B88</f>
        <v>0</v>
      </c>
      <c r="D92" s="366">
        <f>SC13BQ!C88</f>
        <v>0</v>
      </c>
      <c r="E92" s="704">
        <f>SC13BQ!D88</f>
        <v>0</v>
      </c>
      <c r="F92" s="331">
        <f>SC13BQ!E88</f>
        <v>0</v>
      </c>
      <c r="G92" s="704">
        <f>SC13BQ!F88</f>
        <v>0</v>
      </c>
      <c r="H92" s="331">
        <f>SC13BQ!G88</f>
        <v>0</v>
      </c>
      <c r="I92" s="148">
        <f t="shared" si="16"/>
        <v>0</v>
      </c>
      <c r="J92" s="34" t="str">
        <f t="shared" si="13"/>
        <v/>
      </c>
      <c r="K92" s="367">
        <f>SC13BQ!J88</f>
        <v>0</v>
      </c>
    </row>
    <row r="93" spans="1:11" ht="12.75" customHeight="1" x14ac:dyDescent="0.25">
      <c r="A93" s="606" t="s">
        <v>402</v>
      </c>
      <c r="B93" s="90"/>
      <c r="C93" s="366">
        <f>SC13BQ!B89</f>
        <v>0</v>
      </c>
      <c r="D93" s="366">
        <f>SC13BQ!C89</f>
        <v>0</v>
      </c>
      <c r="E93" s="704">
        <f>SC13BQ!D89</f>
        <v>0</v>
      </c>
      <c r="F93" s="331">
        <f>SC13BQ!E89</f>
        <v>0</v>
      </c>
      <c r="G93" s="704">
        <f>SC13BQ!F89</f>
        <v>0</v>
      </c>
      <c r="H93" s="331">
        <f>SC13BQ!G89</f>
        <v>0</v>
      </c>
      <c r="I93" s="148">
        <f t="shared" si="16"/>
        <v>0</v>
      </c>
      <c r="J93" s="34" t="str">
        <f t="shared" si="13"/>
        <v/>
      </c>
      <c r="K93" s="367">
        <f>SC13BQ!J89</f>
        <v>0</v>
      </c>
    </row>
    <row r="94" spans="1:11" ht="12.75" customHeight="1" x14ac:dyDescent="0.25">
      <c r="A94" s="606" t="s">
        <v>1185</v>
      </c>
      <c r="B94" s="90"/>
      <c r="C94" s="366">
        <f>SC13BQ!B90</f>
        <v>0</v>
      </c>
      <c r="D94" s="366">
        <f>SC13BQ!C90</f>
        <v>0</v>
      </c>
      <c r="E94" s="704">
        <f>SC13BQ!D90</f>
        <v>0</v>
      </c>
      <c r="F94" s="331">
        <f>SC13BQ!E90</f>
        <v>0</v>
      </c>
      <c r="G94" s="704">
        <f>SC13BQ!F90</f>
        <v>0</v>
      </c>
      <c r="H94" s="331">
        <f>SC13BQ!G90</f>
        <v>0</v>
      </c>
      <c r="I94" s="148">
        <f t="shared" si="16"/>
        <v>0</v>
      </c>
      <c r="J94" s="34" t="str">
        <f t="shared" si="13"/>
        <v/>
      </c>
      <c r="K94" s="367">
        <f>SC13BQ!J90</f>
        <v>0</v>
      </c>
    </row>
    <row r="95" spans="1:11" ht="12.75" customHeight="1" x14ac:dyDescent="0.25">
      <c r="A95" s="606" t="s">
        <v>401</v>
      </c>
      <c r="B95" s="90"/>
      <c r="C95" s="366">
        <f>SC13BQ!B91</f>
        <v>0</v>
      </c>
      <c r="D95" s="366">
        <f>SC13BQ!C91</f>
        <v>0</v>
      </c>
      <c r="E95" s="704">
        <f>SC13BQ!D91</f>
        <v>0</v>
      </c>
      <c r="F95" s="331">
        <f>SC13BQ!E91</f>
        <v>0</v>
      </c>
      <c r="G95" s="704">
        <f>SC13BQ!F91</f>
        <v>0</v>
      </c>
      <c r="H95" s="331">
        <f>SC13BQ!G91</f>
        <v>0</v>
      </c>
      <c r="I95" s="148">
        <f t="shared" si="16"/>
        <v>0</v>
      </c>
      <c r="J95" s="34" t="str">
        <f t="shared" si="13"/>
        <v/>
      </c>
      <c r="K95" s="367">
        <f>SC13BQ!J91</f>
        <v>0</v>
      </c>
    </row>
    <row r="96" spans="1:11" ht="12.75" customHeight="1" x14ac:dyDescent="0.25">
      <c r="A96" s="606" t="s">
        <v>1186</v>
      </c>
      <c r="B96" s="90"/>
      <c r="C96" s="366">
        <f>SC13BQ!B92</f>
        <v>0</v>
      </c>
      <c r="D96" s="366">
        <f>SC13BQ!C92</f>
        <v>0</v>
      </c>
      <c r="E96" s="704">
        <f>SC13BQ!D92</f>
        <v>0</v>
      </c>
      <c r="F96" s="331">
        <f>SC13BQ!E92</f>
        <v>0</v>
      </c>
      <c r="G96" s="704">
        <f>SC13BQ!F92</f>
        <v>0</v>
      </c>
      <c r="H96" s="331">
        <f>SC13BQ!G92</f>
        <v>0</v>
      </c>
      <c r="I96" s="148">
        <f t="shared" si="16"/>
        <v>0</v>
      </c>
      <c r="J96" s="34" t="str">
        <f t="shared" si="13"/>
        <v/>
      </c>
      <c r="K96" s="367">
        <f>SC13BQ!J92</f>
        <v>0</v>
      </c>
    </row>
    <row r="97" spans="1:11" ht="12.75" customHeight="1" x14ac:dyDescent="0.25">
      <c r="A97" s="606" t="s">
        <v>1187</v>
      </c>
      <c r="B97" s="90"/>
      <c r="C97" s="366">
        <f>SC13BQ!B93</f>
        <v>0</v>
      </c>
      <c r="D97" s="366">
        <f>SC13BQ!C93</f>
        <v>0</v>
      </c>
      <c r="E97" s="704">
        <f>SC13BQ!D93</f>
        <v>0</v>
      </c>
      <c r="F97" s="331">
        <f>SC13BQ!E93</f>
        <v>0</v>
      </c>
      <c r="G97" s="704">
        <f>SC13BQ!F93</f>
        <v>0</v>
      </c>
      <c r="H97" s="331">
        <f>SC13BQ!G93</f>
        <v>0</v>
      </c>
      <c r="I97" s="148">
        <f t="shared" si="16"/>
        <v>0</v>
      </c>
      <c r="J97" s="34" t="str">
        <f t="shared" si="13"/>
        <v/>
      </c>
      <c r="K97" s="367">
        <f>SC13BQ!J93</f>
        <v>0</v>
      </c>
    </row>
    <row r="98" spans="1:11" ht="12.75" customHeight="1" x14ac:dyDescent="0.25">
      <c r="A98" s="606" t="s">
        <v>1122</v>
      </c>
      <c r="B98" s="90"/>
      <c r="C98" s="366">
        <f>SC13BQ!B94</f>
        <v>0</v>
      </c>
      <c r="D98" s="366">
        <f>SC13BQ!C94</f>
        <v>0</v>
      </c>
      <c r="E98" s="704">
        <f>SC13BQ!D94</f>
        <v>0</v>
      </c>
      <c r="F98" s="331">
        <f>SC13BQ!E94</f>
        <v>0</v>
      </c>
      <c r="G98" s="704">
        <f>SC13BQ!F94</f>
        <v>0</v>
      </c>
      <c r="H98" s="331">
        <f>SC13BQ!G94</f>
        <v>0</v>
      </c>
      <c r="I98" s="148">
        <f t="shared" si="16"/>
        <v>0</v>
      </c>
      <c r="J98" s="34" t="str">
        <f t="shared" si="13"/>
        <v/>
      </c>
      <c r="K98" s="367">
        <f>SC13BQ!J94</f>
        <v>0</v>
      </c>
    </row>
    <row r="99" spans="1:11" ht="12.75" customHeight="1" x14ac:dyDescent="0.25">
      <c r="A99" s="30" t="s">
        <v>1188</v>
      </c>
      <c r="B99" s="90"/>
      <c r="C99" s="74">
        <f t="shared" ref="C99:H99" si="17">SUM(C100:C102)</f>
        <v>12287599.189999999</v>
      </c>
      <c r="D99" s="36">
        <f t="shared" si="17"/>
        <v>2250000</v>
      </c>
      <c r="E99" s="33">
        <f t="shared" si="17"/>
        <v>14050000</v>
      </c>
      <c r="F99" s="34">
        <f t="shared" si="17"/>
        <v>16197513.48</v>
      </c>
      <c r="G99" s="33">
        <f t="shared" si="17"/>
        <v>27984678.809999999</v>
      </c>
      <c r="H99" s="34">
        <f t="shared" si="17"/>
        <v>12800000</v>
      </c>
      <c r="I99" s="148">
        <f t="shared" si="16"/>
        <v>-15184678.809999999</v>
      </c>
      <c r="J99" s="34">
        <f t="shared" si="13"/>
        <v>-1.18630303203125</v>
      </c>
      <c r="K99" s="35">
        <f>SUM(K100:K102)</f>
        <v>14050000</v>
      </c>
    </row>
    <row r="100" spans="1:11" ht="12.75" customHeight="1" x14ac:dyDescent="0.25">
      <c r="A100" s="606" t="s">
        <v>1189</v>
      </c>
      <c r="B100" s="90"/>
      <c r="C100" s="366">
        <f>SC13BQ!B96</f>
        <v>0</v>
      </c>
      <c r="D100" s="366">
        <f>SC13BQ!C96</f>
        <v>0</v>
      </c>
      <c r="E100" s="704">
        <f>SC13BQ!D96</f>
        <v>0</v>
      </c>
      <c r="F100" s="331">
        <f>SC13BQ!E96</f>
        <v>0</v>
      </c>
      <c r="G100" s="704">
        <f>SC13BQ!F96</f>
        <v>0</v>
      </c>
      <c r="H100" s="331">
        <f>SC13BQ!G96</f>
        <v>0</v>
      </c>
      <c r="I100" s="148">
        <f t="shared" si="16"/>
        <v>0</v>
      </c>
      <c r="J100" s="34" t="str">
        <f t="shared" si="13"/>
        <v/>
      </c>
      <c r="K100" s="367">
        <f>SC13BQ!J96</f>
        <v>0</v>
      </c>
    </row>
    <row r="101" spans="1:11" ht="12.75" customHeight="1" x14ac:dyDescent="0.25">
      <c r="A101" s="606" t="s">
        <v>1190</v>
      </c>
      <c r="B101" s="90"/>
      <c r="C101" s="366">
        <f>SC13BQ!B97</f>
        <v>12287599.189999999</v>
      </c>
      <c r="D101" s="366">
        <f>SC13BQ!C97</f>
        <v>2250000</v>
      </c>
      <c r="E101" s="704">
        <f>SC13BQ!D97</f>
        <v>14050000</v>
      </c>
      <c r="F101" s="331">
        <f>SC13BQ!E97</f>
        <v>16197513.48</v>
      </c>
      <c r="G101" s="704">
        <f>SC13BQ!F97</f>
        <v>27984678.809999999</v>
      </c>
      <c r="H101" s="331">
        <f>SC13BQ!G97</f>
        <v>12800000</v>
      </c>
      <c r="I101" s="148">
        <f t="shared" si="16"/>
        <v>-15184678.809999999</v>
      </c>
      <c r="J101" s="34">
        <f t="shared" si="13"/>
        <v>-1.18630303203125</v>
      </c>
      <c r="K101" s="367">
        <f>SC13BQ!J97</f>
        <v>14050000</v>
      </c>
    </row>
    <row r="102" spans="1:11" ht="12.75" customHeight="1" x14ac:dyDescent="0.25">
      <c r="A102" s="606" t="s">
        <v>1122</v>
      </c>
      <c r="B102" s="90"/>
      <c r="C102" s="366">
        <f>SC13BQ!B98</f>
        <v>0</v>
      </c>
      <c r="D102" s="366">
        <f>SC13BQ!C98</f>
        <v>0</v>
      </c>
      <c r="E102" s="704">
        <f>SC13BQ!D98</f>
        <v>0</v>
      </c>
      <c r="F102" s="331">
        <f>SC13BQ!E98</f>
        <v>0</v>
      </c>
      <c r="G102" s="704">
        <f>SC13BQ!F98</f>
        <v>0</v>
      </c>
      <c r="H102" s="331">
        <f>SC13BQ!G98</f>
        <v>0</v>
      </c>
      <c r="I102" s="148">
        <f t="shared" si="16"/>
        <v>0</v>
      </c>
      <c r="J102" s="34" t="str">
        <f t="shared" si="13"/>
        <v/>
      </c>
      <c r="K102" s="367">
        <f>SC13BQ!J98</f>
        <v>0</v>
      </c>
    </row>
    <row r="103" spans="1:11" ht="12.75" customHeight="1" x14ac:dyDescent="0.25">
      <c r="A103" s="29" t="s">
        <v>618</v>
      </c>
      <c r="B103" s="90"/>
      <c r="C103" s="142">
        <f t="shared" ref="C103:H103" si="18">SUM(C104:C108)</f>
        <v>0</v>
      </c>
      <c r="D103" s="219">
        <f t="shared" si="18"/>
        <v>0</v>
      </c>
      <c r="E103" s="738">
        <f t="shared" si="18"/>
        <v>0</v>
      </c>
      <c r="F103" s="65">
        <f t="shared" si="18"/>
        <v>0</v>
      </c>
      <c r="G103" s="738">
        <f t="shared" si="18"/>
        <v>0</v>
      </c>
      <c r="H103" s="65">
        <f t="shared" si="18"/>
        <v>0</v>
      </c>
      <c r="I103" s="148">
        <f t="shared" si="16"/>
        <v>0</v>
      </c>
      <c r="J103" s="34" t="str">
        <f t="shared" si="13"/>
        <v/>
      </c>
      <c r="K103" s="740">
        <f>SUM(K104:K108)</f>
        <v>0</v>
      </c>
    </row>
    <row r="104" spans="1:11" ht="12.75" customHeight="1" x14ac:dyDescent="0.25">
      <c r="A104" s="30" t="s">
        <v>1192</v>
      </c>
      <c r="B104" s="90"/>
      <c r="C104" s="539">
        <f>SC13BQ!B101</f>
        <v>0</v>
      </c>
      <c r="D104" s="539">
        <f>SC13BQ!C101</f>
        <v>0</v>
      </c>
      <c r="E104" s="739">
        <f>SC13BQ!D101</f>
        <v>0</v>
      </c>
      <c r="F104" s="540">
        <f>SC13BQ!E101</f>
        <v>0</v>
      </c>
      <c r="G104" s="739">
        <f>SC13BQ!F101</f>
        <v>0</v>
      </c>
      <c r="H104" s="540">
        <f>SC13BQ!G101</f>
        <v>0</v>
      </c>
      <c r="I104" s="148">
        <f t="shared" si="16"/>
        <v>0</v>
      </c>
      <c r="J104" s="34" t="str">
        <f t="shared" si="13"/>
        <v/>
      </c>
      <c r="K104" s="735">
        <f>SC13BQ!J101</f>
        <v>0</v>
      </c>
    </row>
    <row r="105" spans="1:11" ht="12.75" customHeight="1" x14ac:dyDescent="0.25">
      <c r="A105" s="30" t="s">
        <v>1193</v>
      </c>
      <c r="B105" s="90"/>
      <c r="C105" s="539">
        <f>SC13BQ!B103</f>
        <v>0</v>
      </c>
      <c r="D105" s="539">
        <f>SC13BQ!C103</f>
        <v>0</v>
      </c>
      <c r="E105" s="739">
        <f>SC13BQ!D103</f>
        <v>0</v>
      </c>
      <c r="F105" s="540">
        <f>SC13BQ!E103</f>
        <v>0</v>
      </c>
      <c r="G105" s="739">
        <f>SC13BQ!F103</f>
        <v>0</v>
      </c>
      <c r="H105" s="540">
        <f>SC13BQ!G103</f>
        <v>0</v>
      </c>
      <c r="I105" s="148">
        <f t="shared" si="16"/>
        <v>0</v>
      </c>
      <c r="J105" s="34" t="str">
        <f t="shared" si="13"/>
        <v/>
      </c>
      <c r="K105" s="735">
        <f>SC13BQ!J103</f>
        <v>0</v>
      </c>
    </row>
    <row r="106" spans="1:11" ht="12.75" customHeight="1" x14ac:dyDescent="0.25">
      <c r="A106" s="30" t="s">
        <v>1194</v>
      </c>
      <c r="B106" s="90"/>
      <c r="C106" s="539">
        <f>SC13BQ!B105</f>
        <v>0</v>
      </c>
      <c r="D106" s="539">
        <f>SC13BQ!C105</f>
        <v>0</v>
      </c>
      <c r="E106" s="739">
        <f>SC13BQ!D105</f>
        <v>0</v>
      </c>
      <c r="F106" s="540">
        <f>SC13BQ!E105</f>
        <v>0</v>
      </c>
      <c r="G106" s="739">
        <f>SC13BQ!F105</f>
        <v>0</v>
      </c>
      <c r="H106" s="540">
        <f>SC13BQ!G105</f>
        <v>0</v>
      </c>
      <c r="I106" s="148">
        <f t="shared" si="16"/>
        <v>0</v>
      </c>
      <c r="J106" s="34" t="str">
        <f t="shared" si="13"/>
        <v/>
      </c>
      <c r="K106" s="735">
        <f>SC13BQ!J105</f>
        <v>0</v>
      </c>
    </row>
    <row r="107" spans="1:11" ht="12.75" customHeight="1" x14ac:dyDescent="0.25">
      <c r="A107" s="30" t="s">
        <v>1195</v>
      </c>
      <c r="B107" s="90"/>
      <c r="C107" s="539">
        <f>SC13BQ!B107</f>
        <v>0</v>
      </c>
      <c r="D107" s="539">
        <f>SC13BQ!C107</f>
        <v>0</v>
      </c>
      <c r="E107" s="739">
        <f>SC13BQ!D107</f>
        <v>0</v>
      </c>
      <c r="F107" s="540">
        <f>SC13BQ!E107</f>
        <v>0</v>
      </c>
      <c r="G107" s="739">
        <f>SC13BQ!F107</f>
        <v>0</v>
      </c>
      <c r="H107" s="540">
        <f>SC13BQ!G107</f>
        <v>0</v>
      </c>
      <c r="I107" s="148">
        <f t="shared" si="16"/>
        <v>0</v>
      </c>
      <c r="J107" s="34" t="str">
        <f t="shared" si="13"/>
        <v/>
      </c>
      <c r="K107" s="735">
        <f>SC13BQ!J107</f>
        <v>0</v>
      </c>
    </row>
    <row r="108" spans="1:11" ht="12.75" customHeight="1" x14ac:dyDescent="0.25">
      <c r="A108" s="30" t="s">
        <v>1196</v>
      </c>
      <c r="B108" s="90"/>
      <c r="C108" s="539">
        <f>SC13BQ!B109</f>
        <v>0</v>
      </c>
      <c r="D108" s="539">
        <f>SC13BQ!C109</f>
        <v>0</v>
      </c>
      <c r="E108" s="739">
        <f>SC13BQ!D109</f>
        <v>0</v>
      </c>
      <c r="F108" s="540">
        <f>SC13BQ!E109</f>
        <v>0</v>
      </c>
      <c r="G108" s="739">
        <f>SC13BQ!F109</f>
        <v>0</v>
      </c>
      <c r="H108" s="540">
        <f>SC13BQ!G109</f>
        <v>0</v>
      </c>
      <c r="I108" s="148">
        <f t="shared" si="16"/>
        <v>0</v>
      </c>
      <c r="J108" s="34" t="str">
        <f t="shared" si="13"/>
        <v/>
      </c>
      <c r="K108" s="735">
        <f>SC13BQ!J109</f>
        <v>0</v>
      </c>
    </row>
    <row r="109" spans="1:11" ht="5.0999999999999996" customHeight="1" x14ac:dyDescent="0.25">
      <c r="A109" s="32"/>
      <c r="B109" s="90"/>
      <c r="C109" s="74"/>
      <c r="D109" s="36"/>
      <c r="E109" s="33"/>
      <c r="F109" s="34"/>
      <c r="G109" s="33"/>
      <c r="H109" s="34"/>
      <c r="I109" s="148">
        <f t="shared" si="16"/>
        <v>0</v>
      </c>
      <c r="J109" s="34" t="str">
        <f t="shared" si="13"/>
        <v/>
      </c>
      <c r="K109" s="35"/>
    </row>
    <row r="110" spans="1:11" ht="12.75" customHeight="1" x14ac:dyDescent="0.25">
      <c r="A110" s="29" t="s">
        <v>619</v>
      </c>
      <c r="B110" s="340"/>
      <c r="C110" s="220">
        <f t="shared" ref="C110:H110" si="19">+C111+C114</f>
        <v>883595.37</v>
      </c>
      <c r="D110" s="297">
        <f t="shared" si="19"/>
        <v>0</v>
      </c>
      <c r="E110" s="737">
        <f t="shared" si="19"/>
        <v>0</v>
      </c>
      <c r="F110" s="221">
        <f t="shared" si="19"/>
        <v>0</v>
      </c>
      <c r="G110" s="737">
        <f t="shared" si="19"/>
        <v>0</v>
      </c>
      <c r="H110" s="221">
        <f t="shared" si="19"/>
        <v>0</v>
      </c>
      <c r="I110" s="148">
        <f t="shared" si="16"/>
        <v>0</v>
      </c>
      <c r="J110" s="34" t="str">
        <f t="shared" si="13"/>
        <v/>
      </c>
      <c r="K110" s="734">
        <f>+K111+K114</f>
        <v>0</v>
      </c>
    </row>
    <row r="111" spans="1:11" ht="12.75" customHeight="1" x14ac:dyDescent="0.25">
      <c r="A111" s="30" t="s">
        <v>1197</v>
      </c>
      <c r="B111" s="90"/>
      <c r="C111" s="74">
        <f t="shared" ref="C111:H111" si="20">SUM(C112:C113)</f>
        <v>0</v>
      </c>
      <c r="D111" s="36">
        <f t="shared" si="20"/>
        <v>0</v>
      </c>
      <c r="E111" s="33">
        <f t="shared" si="20"/>
        <v>0</v>
      </c>
      <c r="F111" s="34">
        <f t="shared" si="20"/>
        <v>0</v>
      </c>
      <c r="G111" s="33">
        <f t="shared" si="20"/>
        <v>0</v>
      </c>
      <c r="H111" s="34">
        <f t="shared" si="20"/>
        <v>0</v>
      </c>
      <c r="I111" s="148">
        <f t="shared" si="16"/>
        <v>0</v>
      </c>
      <c r="J111" s="34" t="str">
        <f t="shared" si="13"/>
        <v/>
      </c>
      <c r="K111" s="35">
        <f>SUM(K112:K113)</f>
        <v>0</v>
      </c>
    </row>
    <row r="112" spans="1:11" ht="12.75" customHeight="1" x14ac:dyDescent="0.25">
      <c r="A112" s="606" t="s">
        <v>1198</v>
      </c>
      <c r="B112" s="90"/>
      <c r="C112" s="366">
        <f>SC13BQ!B112</f>
        <v>0</v>
      </c>
      <c r="D112" s="366">
        <f>SC13BQ!C112</f>
        <v>0</v>
      </c>
      <c r="E112" s="704">
        <f>SC13BQ!D112</f>
        <v>0</v>
      </c>
      <c r="F112" s="331">
        <f>SC13BQ!E112</f>
        <v>0</v>
      </c>
      <c r="G112" s="704">
        <f>SC13BQ!F112</f>
        <v>0</v>
      </c>
      <c r="H112" s="331">
        <f>SC13BQ!G112</f>
        <v>0</v>
      </c>
      <c r="I112" s="148">
        <f t="shared" si="16"/>
        <v>0</v>
      </c>
      <c r="J112" s="34" t="str">
        <f t="shared" si="13"/>
        <v/>
      </c>
      <c r="K112" s="367">
        <f>SC13BQ!J112</f>
        <v>0</v>
      </c>
    </row>
    <row r="113" spans="1:11" ht="12.75" customHeight="1" x14ac:dyDescent="0.25">
      <c r="A113" s="606" t="s">
        <v>1199</v>
      </c>
      <c r="B113" s="90"/>
      <c r="C113" s="366">
        <f>SC13BQ!B113</f>
        <v>0</v>
      </c>
      <c r="D113" s="366">
        <f>SC13BQ!C113</f>
        <v>0</v>
      </c>
      <c r="E113" s="704">
        <f>SC13BQ!D113</f>
        <v>0</v>
      </c>
      <c r="F113" s="331">
        <f>SC13BQ!E113</f>
        <v>0</v>
      </c>
      <c r="G113" s="704">
        <f>SC13BQ!F113</f>
        <v>0</v>
      </c>
      <c r="H113" s="331">
        <f>SC13BQ!G113</f>
        <v>0</v>
      </c>
      <c r="I113" s="148">
        <f t="shared" si="16"/>
        <v>0</v>
      </c>
      <c r="J113" s="34" t="str">
        <f t="shared" si="13"/>
        <v/>
      </c>
      <c r="K113" s="367">
        <f>SC13BQ!J113</f>
        <v>0</v>
      </c>
    </row>
    <row r="114" spans="1:11" ht="12.75" customHeight="1" x14ac:dyDescent="0.25">
      <c r="A114" s="30" t="s">
        <v>1200</v>
      </c>
      <c r="B114" s="90"/>
      <c r="C114" s="74">
        <f t="shared" ref="C114:H114" si="21">SUM(C115:C116)</f>
        <v>883595.37</v>
      </c>
      <c r="D114" s="36">
        <f t="shared" si="21"/>
        <v>0</v>
      </c>
      <c r="E114" s="33">
        <f t="shared" si="21"/>
        <v>0</v>
      </c>
      <c r="F114" s="34">
        <f t="shared" si="21"/>
        <v>0</v>
      </c>
      <c r="G114" s="33">
        <f t="shared" si="21"/>
        <v>0</v>
      </c>
      <c r="H114" s="34">
        <f t="shared" si="21"/>
        <v>0</v>
      </c>
      <c r="I114" s="148">
        <f t="shared" si="16"/>
        <v>0</v>
      </c>
      <c r="J114" s="34" t="str">
        <f t="shared" si="13"/>
        <v/>
      </c>
      <c r="K114" s="35">
        <f>SUM(K115:K116)</f>
        <v>0</v>
      </c>
    </row>
    <row r="115" spans="1:11" ht="12.75" customHeight="1" x14ac:dyDescent="0.25">
      <c r="A115" s="606" t="s">
        <v>1198</v>
      </c>
      <c r="B115" s="90"/>
      <c r="C115" s="366">
        <f>SC13BQ!B115</f>
        <v>883595.37</v>
      </c>
      <c r="D115" s="366">
        <f>SC13BQ!C115</f>
        <v>0</v>
      </c>
      <c r="E115" s="704">
        <f>SC13BQ!D115</f>
        <v>0</v>
      </c>
      <c r="F115" s="331">
        <f>SC13BQ!E115</f>
        <v>0</v>
      </c>
      <c r="G115" s="704">
        <f>SC13BQ!F115</f>
        <v>0</v>
      </c>
      <c r="H115" s="331">
        <f>SC13BQ!G115</f>
        <v>0</v>
      </c>
      <c r="I115" s="148">
        <f t="shared" si="16"/>
        <v>0</v>
      </c>
      <c r="J115" s="34" t="str">
        <f t="shared" si="13"/>
        <v/>
      </c>
      <c r="K115" s="367">
        <f>SC13BQ!J115</f>
        <v>0</v>
      </c>
    </row>
    <row r="116" spans="1:11" ht="12.75" customHeight="1" x14ac:dyDescent="0.25">
      <c r="A116" s="606" t="s">
        <v>1199</v>
      </c>
      <c r="B116" s="90"/>
      <c r="C116" s="366">
        <f>SC13BQ!B116</f>
        <v>0</v>
      </c>
      <c r="D116" s="366">
        <f>SC13BQ!C116</f>
        <v>0</v>
      </c>
      <c r="E116" s="704">
        <f>SC13BQ!D116</f>
        <v>0</v>
      </c>
      <c r="F116" s="331">
        <f>SC13BQ!E116</f>
        <v>0</v>
      </c>
      <c r="G116" s="704">
        <f>SC13BQ!F116</f>
        <v>0</v>
      </c>
      <c r="H116" s="331">
        <f>SC13BQ!G116</f>
        <v>0</v>
      </c>
      <c r="I116" s="148">
        <f t="shared" si="16"/>
        <v>0</v>
      </c>
      <c r="J116" s="34" t="str">
        <f t="shared" si="13"/>
        <v/>
      </c>
      <c r="K116" s="367">
        <f>SC13BQ!J116</f>
        <v>0</v>
      </c>
    </row>
    <row r="117" spans="1:11" ht="12.75" customHeight="1" x14ac:dyDescent="0.25">
      <c r="A117" s="29" t="s">
        <v>620</v>
      </c>
      <c r="B117" s="90"/>
      <c r="C117" s="220">
        <f t="shared" ref="C117:H117" si="22">+C118+C130</f>
        <v>14592944.370000001</v>
      </c>
      <c r="D117" s="297">
        <f t="shared" si="22"/>
        <v>7198000</v>
      </c>
      <c r="E117" s="737">
        <f t="shared" si="22"/>
        <v>3484400</v>
      </c>
      <c r="F117" s="221">
        <f t="shared" si="22"/>
        <v>15648</v>
      </c>
      <c r="G117" s="737">
        <f t="shared" si="22"/>
        <v>283456.53999999998</v>
      </c>
      <c r="H117" s="221">
        <f t="shared" si="22"/>
        <v>1841882.54</v>
      </c>
      <c r="I117" s="148">
        <f t="shared" si="16"/>
        <v>1558426</v>
      </c>
      <c r="J117" s="34">
        <f t="shared" si="13"/>
        <v>0.84610498560890857</v>
      </c>
      <c r="K117" s="734">
        <f>+K118+K130</f>
        <v>3484400</v>
      </c>
    </row>
    <row r="118" spans="1:11" ht="12.75" customHeight="1" x14ac:dyDescent="0.25">
      <c r="A118" s="30" t="s">
        <v>1201</v>
      </c>
      <c r="B118" s="90"/>
      <c r="C118" s="74">
        <f t="shared" ref="C118:H118" si="23">SUM(C119:C129)</f>
        <v>14592944.370000001</v>
      </c>
      <c r="D118" s="36">
        <f t="shared" si="23"/>
        <v>4000000</v>
      </c>
      <c r="E118" s="33">
        <f t="shared" si="23"/>
        <v>286400</v>
      </c>
      <c r="F118" s="34">
        <f t="shared" si="23"/>
        <v>15648</v>
      </c>
      <c r="G118" s="33">
        <f t="shared" si="23"/>
        <v>283456.53999999998</v>
      </c>
      <c r="H118" s="34">
        <f t="shared" si="23"/>
        <v>242882.54</v>
      </c>
      <c r="I118" s="148">
        <f t="shared" ref="I118:I173" si="24">H118-G118</f>
        <v>-40573.999999999971</v>
      </c>
      <c r="J118" s="34">
        <f t="shared" si="13"/>
        <v>-0.16705194206219998</v>
      </c>
      <c r="K118" s="35">
        <f>SUM(K119:K129)</f>
        <v>286400</v>
      </c>
    </row>
    <row r="119" spans="1:11" ht="12.75" customHeight="1" x14ac:dyDescent="0.25">
      <c r="A119" s="606" t="s">
        <v>1202</v>
      </c>
      <c r="B119" s="90"/>
      <c r="C119" s="366">
        <f>SC13BQ!B119</f>
        <v>13192023.640000001</v>
      </c>
      <c r="D119" s="366">
        <f>SC13BQ!C119</f>
        <v>4000000</v>
      </c>
      <c r="E119" s="704">
        <f>SC13BQ!D119</f>
        <v>286400</v>
      </c>
      <c r="F119" s="331">
        <f>SC13BQ!E119</f>
        <v>15648</v>
      </c>
      <c r="G119" s="704">
        <f>SC13BQ!F119</f>
        <v>283456.53999999998</v>
      </c>
      <c r="H119" s="331">
        <f>SC13BQ!G119</f>
        <v>242882.54</v>
      </c>
      <c r="I119" s="148">
        <f t="shared" si="24"/>
        <v>-40573.999999999971</v>
      </c>
      <c r="J119" s="34">
        <f t="shared" si="13"/>
        <v>-0.16705194206219998</v>
      </c>
      <c r="K119" s="367">
        <f>SC13BQ!J119</f>
        <v>286400</v>
      </c>
    </row>
    <row r="120" spans="1:11" ht="12.75" customHeight="1" x14ac:dyDescent="0.25">
      <c r="A120" s="606" t="s">
        <v>1203</v>
      </c>
      <c r="B120" s="90"/>
      <c r="C120" s="366">
        <f>SC13BQ!B120</f>
        <v>0</v>
      </c>
      <c r="D120" s="366">
        <f>SC13BQ!C120</f>
        <v>0</v>
      </c>
      <c r="E120" s="704">
        <f>SC13BQ!D120</f>
        <v>0</v>
      </c>
      <c r="F120" s="331">
        <f>SC13BQ!E120</f>
        <v>0</v>
      </c>
      <c r="G120" s="704">
        <f>SC13BQ!F120</f>
        <v>0</v>
      </c>
      <c r="H120" s="331">
        <f>SC13BQ!G120</f>
        <v>0</v>
      </c>
      <c r="I120" s="148">
        <f t="shared" si="24"/>
        <v>0</v>
      </c>
      <c r="J120" s="34" t="str">
        <f t="shared" si="13"/>
        <v/>
      </c>
      <c r="K120" s="367">
        <f>SC13BQ!J120</f>
        <v>0</v>
      </c>
    </row>
    <row r="121" spans="1:11" ht="12.75" customHeight="1" x14ac:dyDescent="0.25">
      <c r="A121" s="606" t="s">
        <v>1204</v>
      </c>
      <c r="B121" s="90"/>
      <c r="C121" s="366">
        <f>SC13BQ!B121</f>
        <v>0</v>
      </c>
      <c r="D121" s="366">
        <f>SC13BQ!C121</f>
        <v>0</v>
      </c>
      <c r="E121" s="704">
        <f>SC13BQ!D121</f>
        <v>0</v>
      </c>
      <c r="F121" s="331">
        <f>SC13BQ!E121</f>
        <v>0</v>
      </c>
      <c r="G121" s="704">
        <f>SC13BQ!F121</f>
        <v>0</v>
      </c>
      <c r="H121" s="331">
        <f>SC13BQ!G121</f>
        <v>0</v>
      </c>
      <c r="I121" s="148">
        <f t="shared" si="24"/>
        <v>0</v>
      </c>
      <c r="J121" s="34" t="str">
        <f t="shared" si="13"/>
        <v/>
      </c>
      <c r="K121" s="367">
        <f>SC13BQ!J121</f>
        <v>0</v>
      </c>
    </row>
    <row r="122" spans="1:11" ht="12.75" customHeight="1" x14ac:dyDescent="0.25">
      <c r="A122" s="606" t="s">
        <v>1205</v>
      </c>
      <c r="B122" s="90"/>
      <c r="C122" s="366">
        <f>SC13BQ!B122</f>
        <v>0</v>
      </c>
      <c r="D122" s="366">
        <f>SC13BQ!C122</f>
        <v>0</v>
      </c>
      <c r="E122" s="704">
        <f>SC13BQ!D122</f>
        <v>0</v>
      </c>
      <c r="F122" s="331">
        <f>SC13BQ!E122</f>
        <v>0</v>
      </c>
      <c r="G122" s="704">
        <f>SC13BQ!F122</f>
        <v>0</v>
      </c>
      <c r="H122" s="331">
        <f>SC13BQ!G122</f>
        <v>0</v>
      </c>
      <c r="I122" s="148">
        <f t="shared" si="24"/>
        <v>0</v>
      </c>
      <c r="J122" s="34" t="str">
        <f t="shared" si="13"/>
        <v/>
      </c>
      <c r="K122" s="367">
        <f>SC13BQ!J122</f>
        <v>0</v>
      </c>
    </row>
    <row r="123" spans="1:11" ht="12.75" customHeight="1" x14ac:dyDescent="0.25">
      <c r="A123" s="606" t="s">
        <v>1206</v>
      </c>
      <c r="B123" s="90"/>
      <c r="C123" s="366">
        <f>SC13BQ!B123</f>
        <v>0</v>
      </c>
      <c r="D123" s="366">
        <f>SC13BQ!C123</f>
        <v>0</v>
      </c>
      <c r="E123" s="704">
        <f>SC13BQ!D123</f>
        <v>0</v>
      </c>
      <c r="F123" s="331">
        <f>SC13BQ!E123</f>
        <v>0</v>
      </c>
      <c r="G123" s="704">
        <f>SC13BQ!F123</f>
        <v>0</v>
      </c>
      <c r="H123" s="331">
        <f>SC13BQ!G123</f>
        <v>0</v>
      </c>
      <c r="I123" s="148">
        <f t="shared" si="24"/>
        <v>0</v>
      </c>
      <c r="J123" s="34" t="str">
        <f t="shared" si="13"/>
        <v/>
      </c>
      <c r="K123" s="367">
        <f>SC13BQ!J123</f>
        <v>0</v>
      </c>
    </row>
    <row r="124" spans="1:11" ht="12.75" customHeight="1" x14ac:dyDescent="0.25">
      <c r="A124" s="606" t="s">
        <v>1207</v>
      </c>
      <c r="B124" s="90"/>
      <c r="C124" s="366">
        <f>SC13BQ!B124</f>
        <v>0</v>
      </c>
      <c r="D124" s="366">
        <f>SC13BQ!C124</f>
        <v>0</v>
      </c>
      <c r="E124" s="704">
        <f>SC13BQ!D124</f>
        <v>0</v>
      </c>
      <c r="F124" s="331">
        <f>SC13BQ!E124</f>
        <v>0</v>
      </c>
      <c r="G124" s="704">
        <f>SC13BQ!F124</f>
        <v>0</v>
      </c>
      <c r="H124" s="331">
        <f>SC13BQ!G124</f>
        <v>0</v>
      </c>
      <c r="I124" s="148">
        <f t="shared" si="24"/>
        <v>0</v>
      </c>
      <c r="J124" s="34" t="str">
        <f t="shared" si="13"/>
        <v/>
      </c>
      <c r="K124" s="367">
        <f>SC13BQ!J124</f>
        <v>0</v>
      </c>
    </row>
    <row r="125" spans="1:11" ht="12.75" customHeight="1" x14ac:dyDescent="0.25">
      <c r="A125" s="606" t="s">
        <v>1208</v>
      </c>
      <c r="B125" s="90"/>
      <c r="C125" s="366">
        <f>SC13BQ!B125</f>
        <v>0</v>
      </c>
      <c r="D125" s="366">
        <f>SC13BQ!C125</f>
        <v>0</v>
      </c>
      <c r="E125" s="704">
        <f>SC13BQ!D125</f>
        <v>0</v>
      </c>
      <c r="F125" s="331">
        <f>SC13BQ!E125</f>
        <v>0</v>
      </c>
      <c r="G125" s="704">
        <f>SC13BQ!F125</f>
        <v>0</v>
      </c>
      <c r="H125" s="331">
        <f>SC13BQ!G125</f>
        <v>0</v>
      </c>
      <c r="I125" s="148">
        <f t="shared" si="24"/>
        <v>0</v>
      </c>
      <c r="J125" s="34" t="str">
        <f t="shared" si="13"/>
        <v/>
      </c>
      <c r="K125" s="367">
        <f>SC13BQ!J125</f>
        <v>0</v>
      </c>
    </row>
    <row r="126" spans="1:11" ht="12.75" customHeight="1" x14ac:dyDescent="0.25">
      <c r="A126" s="606" t="s">
        <v>1209</v>
      </c>
      <c r="B126" s="90"/>
      <c r="C126" s="366">
        <f>SC13BQ!B126</f>
        <v>0</v>
      </c>
      <c r="D126" s="366">
        <f>SC13BQ!C126</f>
        <v>0</v>
      </c>
      <c r="E126" s="704">
        <f>SC13BQ!D126</f>
        <v>0</v>
      </c>
      <c r="F126" s="331">
        <f>SC13BQ!E126</f>
        <v>0</v>
      </c>
      <c r="G126" s="704">
        <f>SC13BQ!F126</f>
        <v>0</v>
      </c>
      <c r="H126" s="331">
        <f>SC13BQ!G126</f>
        <v>0</v>
      </c>
      <c r="I126" s="148">
        <f t="shared" si="24"/>
        <v>0</v>
      </c>
      <c r="J126" s="34" t="str">
        <f t="shared" si="13"/>
        <v/>
      </c>
      <c r="K126" s="367">
        <f>SC13BQ!J126</f>
        <v>0</v>
      </c>
    </row>
    <row r="127" spans="1:11" ht="12.75" customHeight="1" x14ac:dyDescent="0.25">
      <c r="A127" s="606" t="s">
        <v>1210</v>
      </c>
      <c r="B127" s="90"/>
      <c r="C127" s="366">
        <f>SC13BQ!B127</f>
        <v>0</v>
      </c>
      <c r="D127" s="366">
        <f>SC13BQ!C127</f>
        <v>0</v>
      </c>
      <c r="E127" s="704">
        <f>SC13BQ!D127</f>
        <v>0</v>
      </c>
      <c r="F127" s="331">
        <f>SC13BQ!E127</f>
        <v>0</v>
      </c>
      <c r="G127" s="704">
        <f>SC13BQ!F127</f>
        <v>0</v>
      </c>
      <c r="H127" s="331">
        <f>SC13BQ!G127</f>
        <v>0</v>
      </c>
      <c r="I127" s="148">
        <f t="shared" si="24"/>
        <v>0</v>
      </c>
      <c r="J127" s="34" t="str">
        <f t="shared" si="13"/>
        <v/>
      </c>
      <c r="K127" s="367">
        <f>SC13BQ!J127</f>
        <v>0</v>
      </c>
    </row>
    <row r="128" spans="1:11" ht="12.75" customHeight="1" x14ac:dyDescent="0.25">
      <c r="A128" s="606" t="s">
        <v>1211</v>
      </c>
      <c r="B128" s="90"/>
      <c r="C128" s="366">
        <f>SC13BQ!B128</f>
        <v>1400920.73</v>
      </c>
      <c r="D128" s="366">
        <f>SC13BQ!C128</f>
        <v>0</v>
      </c>
      <c r="E128" s="704">
        <f>SC13BQ!D128</f>
        <v>0</v>
      </c>
      <c r="F128" s="331">
        <f>SC13BQ!E128</f>
        <v>0</v>
      </c>
      <c r="G128" s="704">
        <f>SC13BQ!F128</f>
        <v>0</v>
      </c>
      <c r="H128" s="331">
        <f>SC13BQ!G128</f>
        <v>0</v>
      </c>
      <c r="I128" s="148">
        <f t="shared" si="24"/>
        <v>0</v>
      </c>
      <c r="J128" s="34" t="str">
        <f t="shared" si="13"/>
        <v/>
      </c>
      <c r="K128" s="367">
        <f>SC13BQ!J128</f>
        <v>0</v>
      </c>
    </row>
    <row r="129" spans="1:11" ht="12.75" customHeight="1" x14ac:dyDescent="0.25">
      <c r="A129" s="606" t="s">
        <v>1122</v>
      </c>
      <c r="B129" s="90"/>
      <c r="C129" s="366">
        <f>SC13BQ!B129</f>
        <v>0</v>
      </c>
      <c r="D129" s="366">
        <f>SC13BQ!C129</f>
        <v>0</v>
      </c>
      <c r="E129" s="704">
        <f>SC13BQ!D129</f>
        <v>0</v>
      </c>
      <c r="F129" s="331">
        <f>SC13BQ!E129</f>
        <v>0</v>
      </c>
      <c r="G129" s="704">
        <f>SC13BQ!F129</f>
        <v>0</v>
      </c>
      <c r="H129" s="331">
        <f>SC13BQ!G129</f>
        <v>0</v>
      </c>
      <c r="I129" s="148">
        <f t="shared" si="24"/>
        <v>0</v>
      </c>
      <c r="J129" s="34" t="str">
        <f t="shared" si="13"/>
        <v/>
      </c>
      <c r="K129" s="367">
        <f>SC13BQ!J129</f>
        <v>0</v>
      </c>
    </row>
    <row r="130" spans="1:11" ht="12.75" customHeight="1" x14ac:dyDescent="0.25">
      <c r="A130" s="30" t="s">
        <v>659</v>
      </c>
      <c r="B130" s="90"/>
      <c r="C130" s="74">
        <f t="shared" ref="C130:H130" si="25">SUM(C131:C133)</f>
        <v>0</v>
      </c>
      <c r="D130" s="36">
        <f t="shared" si="25"/>
        <v>3198000</v>
      </c>
      <c r="E130" s="33">
        <f t="shared" si="25"/>
        <v>3198000</v>
      </c>
      <c r="F130" s="34">
        <f t="shared" si="25"/>
        <v>0</v>
      </c>
      <c r="G130" s="33">
        <f t="shared" si="25"/>
        <v>0</v>
      </c>
      <c r="H130" s="34">
        <f t="shared" si="25"/>
        <v>1599000</v>
      </c>
      <c r="I130" s="148">
        <f t="shared" si="24"/>
        <v>1599000</v>
      </c>
      <c r="J130" s="34">
        <f t="shared" si="13"/>
        <v>1</v>
      </c>
      <c r="K130" s="35">
        <f>SUM(K131:K133)</f>
        <v>3198000</v>
      </c>
    </row>
    <row r="131" spans="1:11" ht="12.75" customHeight="1" x14ac:dyDescent="0.25">
      <c r="A131" s="606" t="s">
        <v>1212</v>
      </c>
      <c r="B131" s="90"/>
      <c r="C131" s="366">
        <f>SC13BQ!B131</f>
        <v>0</v>
      </c>
      <c r="D131" s="366">
        <f>SC13BQ!C131</f>
        <v>0</v>
      </c>
      <c r="E131" s="704">
        <f>SC13BQ!D131</f>
        <v>0</v>
      </c>
      <c r="F131" s="331">
        <f>SC13BQ!E131</f>
        <v>0</v>
      </c>
      <c r="G131" s="704">
        <f>SC13BQ!F131</f>
        <v>0</v>
      </c>
      <c r="H131" s="331">
        <f>SC13BQ!G131</f>
        <v>0</v>
      </c>
      <c r="I131" s="148">
        <f t="shared" si="24"/>
        <v>0</v>
      </c>
      <c r="J131" s="34" t="str">
        <f t="shared" si="13"/>
        <v/>
      </c>
      <c r="K131" s="367">
        <f>SC13BQ!J131</f>
        <v>0</v>
      </c>
    </row>
    <row r="132" spans="1:11" ht="12.75" customHeight="1" x14ac:dyDescent="0.25">
      <c r="A132" s="606" t="s">
        <v>1213</v>
      </c>
      <c r="B132" s="90"/>
      <c r="C132" s="366">
        <f>SC13BQ!B132</f>
        <v>0</v>
      </c>
      <c r="D132" s="366">
        <f>SC13BQ!C132</f>
        <v>3198000</v>
      </c>
      <c r="E132" s="704">
        <f>SC13BQ!D132</f>
        <v>3198000</v>
      </c>
      <c r="F132" s="331">
        <f>SC13BQ!E132</f>
        <v>0</v>
      </c>
      <c r="G132" s="704">
        <f>SC13BQ!F132</f>
        <v>0</v>
      </c>
      <c r="H132" s="331">
        <f>SC13BQ!G132</f>
        <v>1599000</v>
      </c>
      <c r="I132" s="148">
        <f t="shared" si="24"/>
        <v>1599000</v>
      </c>
      <c r="J132" s="34">
        <f t="shared" si="13"/>
        <v>1</v>
      </c>
      <c r="K132" s="367">
        <f>SC13BQ!J132</f>
        <v>3198000</v>
      </c>
    </row>
    <row r="133" spans="1:11" ht="12.75" customHeight="1" x14ac:dyDescent="0.25">
      <c r="A133" s="606" t="s">
        <v>1122</v>
      </c>
      <c r="B133" s="90"/>
      <c r="C133" s="366">
        <f>SC13BQ!B133</f>
        <v>0</v>
      </c>
      <c r="D133" s="366">
        <f>SC13BQ!C133</f>
        <v>0</v>
      </c>
      <c r="E133" s="704">
        <f>SC13BQ!D133</f>
        <v>0</v>
      </c>
      <c r="F133" s="331">
        <f>SC13BQ!E133</f>
        <v>0</v>
      </c>
      <c r="G133" s="704">
        <f>SC13BQ!F133</f>
        <v>0</v>
      </c>
      <c r="H133" s="331">
        <f>SC13BQ!G133</f>
        <v>0</v>
      </c>
      <c r="I133" s="148">
        <f t="shared" si="24"/>
        <v>0</v>
      </c>
      <c r="J133" s="34" t="str">
        <f t="shared" si="13"/>
        <v/>
      </c>
      <c r="K133" s="367">
        <f>SC13BQ!J133</f>
        <v>0</v>
      </c>
    </row>
    <row r="134" spans="1:11" ht="5.0999999999999996" customHeight="1" x14ac:dyDescent="0.25">
      <c r="A134" s="30"/>
      <c r="B134" s="90"/>
      <c r="C134" s="74"/>
      <c r="D134" s="36"/>
      <c r="E134" s="33"/>
      <c r="F134" s="34"/>
      <c r="G134" s="33"/>
      <c r="H134" s="34"/>
      <c r="I134" s="148">
        <f t="shared" si="24"/>
        <v>0</v>
      </c>
      <c r="J134" s="34" t="str">
        <f t="shared" si="13"/>
        <v/>
      </c>
      <c r="K134" s="35"/>
    </row>
    <row r="135" spans="1:11" ht="12.75" customHeight="1" x14ac:dyDescent="0.25">
      <c r="A135" s="29" t="s">
        <v>1214</v>
      </c>
      <c r="B135" s="90"/>
      <c r="C135" s="220">
        <f t="shared" ref="C135:H135" si="26">SUM(C136:C136)</f>
        <v>0</v>
      </c>
      <c r="D135" s="297">
        <f t="shared" si="26"/>
        <v>0</v>
      </c>
      <c r="E135" s="737">
        <f t="shared" si="26"/>
        <v>0</v>
      </c>
      <c r="F135" s="221">
        <f t="shared" si="26"/>
        <v>0</v>
      </c>
      <c r="G135" s="737">
        <f t="shared" si="26"/>
        <v>0</v>
      </c>
      <c r="H135" s="221">
        <f t="shared" si="26"/>
        <v>0</v>
      </c>
      <c r="I135" s="148">
        <f t="shared" si="24"/>
        <v>0</v>
      </c>
      <c r="J135" s="34" t="str">
        <f t="shared" si="13"/>
        <v/>
      </c>
      <c r="K135" s="734">
        <f>SUM(K136)</f>
        <v>0</v>
      </c>
    </row>
    <row r="136" spans="1:11" ht="12.75" customHeight="1" x14ac:dyDescent="0.25">
      <c r="A136" s="30" t="s">
        <v>1214</v>
      </c>
      <c r="B136" s="90"/>
      <c r="C136" s="366">
        <f>SC13BQ!B136</f>
        <v>0</v>
      </c>
      <c r="D136" s="366">
        <f>SC13BQ!C136</f>
        <v>0</v>
      </c>
      <c r="E136" s="704">
        <f>SC13BQ!D136</f>
        <v>0</v>
      </c>
      <c r="F136" s="331">
        <f>SC13BQ!E136</f>
        <v>0</v>
      </c>
      <c r="G136" s="704">
        <f>SC13BQ!F136</f>
        <v>0</v>
      </c>
      <c r="H136" s="331">
        <f>SC13BQ!G136</f>
        <v>0</v>
      </c>
      <c r="I136" s="148">
        <f t="shared" si="24"/>
        <v>0</v>
      </c>
      <c r="J136" s="34" t="str">
        <f t="shared" si="13"/>
        <v/>
      </c>
      <c r="K136" s="367">
        <f>SC13BQ!J136</f>
        <v>0</v>
      </c>
    </row>
    <row r="137" spans="1:11" ht="5.0999999999999996" customHeight="1" x14ac:dyDescent="0.25">
      <c r="A137" s="32"/>
      <c r="B137" s="90"/>
      <c r="C137" s="74"/>
      <c r="D137" s="36"/>
      <c r="E137" s="33"/>
      <c r="F137" s="34"/>
      <c r="G137" s="33"/>
      <c r="H137" s="34"/>
      <c r="I137" s="148">
        <f t="shared" si="24"/>
        <v>0</v>
      </c>
      <c r="J137" s="34" t="str">
        <f t="shared" ref="J137:J173" si="27">IF(H137=0,"",I137/H137)</f>
        <v/>
      </c>
      <c r="K137" s="35"/>
    </row>
    <row r="138" spans="1:11" ht="12.75" customHeight="1" x14ac:dyDescent="0.25">
      <c r="A138" s="29" t="s">
        <v>1215</v>
      </c>
      <c r="B138" s="90"/>
      <c r="C138" s="220">
        <f t="shared" ref="C138:H138" si="28">SUM(C139:C140)</f>
        <v>2016054.78</v>
      </c>
      <c r="D138" s="297">
        <f t="shared" si="28"/>
        <v>0</v>
      </c>
      <c r="E138" s="737">
        <f t="shared" si="28"/>
        <v>0</v>
      </c>
      <c r="F138" s="221">
        <f t="shared" si="28"/>
        <v>0</v>
      </c>
      <c r="G138" s="737">
        <f t="shared" si="28"/>
        <v>0</v>
      </c>
      <c r="H138" s="221">
        <f t="shared" si="28"/>
        <v>0</v>
      </c>
      <c r="I138" s="148">
        <f t="shared" si="24"/>
        <v>0</v>
      </c>
      <c r="J138" s="34" t="str">
        <f t="shared" si="27"/>
        <v/>
      </c>
      <c r="K138" s="734">
        <f>SUM(K139:K140)</f>
        <v>0</v>
      </c>
    </row>
    <row r="139" spans="1:11" ht="12.75" customHeight="1" x14ac:dyDescent="0.25">
      <c r="A139" s="30" t="s">
        <v>1216</v>
      </c>
      <c r="B139" s="90"/>
      <c r="C139" s="366">
        <f>SC13BQ!B139</f>
        <v>0</v>
      </c>
      <c r="D139" s="366">
        <f>SC13BQ!C139</f>
        <v>0</v>
      </c>
      <c r="E139" s="704">
        <f>SC13BQ!D139</f>
        <v>0</v>
      </c>
      <c r="F139" s="331">
        <f>SC13BQ!E139</f>
        <v>0</v>
      </c>
      <c r="G139" s="704">
        <f>SC13BQ!F139</f>
        <v>0</v>
      </c>
      <c r="H139" s="331">
        <f>SC13BQ!G139</f>
        <v>0</v>
      </c>
      <c r="I139" s="148">
        <f t="shared" si="24"/>
        <v>0</v>
      </c>
      <c r="J139" s="34" t="str">
        <f t="shared" si="27"/>
        <v/>
      </c>
      <c r="K139" s="367">
        <f>SC13BQ!J139</f>
        <v>0</v>
      </c>
    </row>
    <row r="140" spans="1:11" ht="12.75" customHeight="1" x14ac:dyDescent="0.25">
      <c r="A140" s="30" t="s">
        <v>1217</v>
      </c>
      <c r="B140" s="90"/>
      <c r="C140" s="74">
        <f t="shared" ref="C140:H140" si="29">SUM(C141:C146)</f>
        <v>2016054.78</v>
      </c>
      <c r="D140" s="36">
        <f t="shared" si="29"/>
        <v>0</v>
      </c>
      <c r="E140" s="33">
        <f t="shared" si="29"/>
        <v>0</v>
      </c>
      <c r="F140" s="34">
        <f t="shared" si="29"/>
        <v>0</v>
      </c>
      <c r="G140" s="33">
        <f t="shared" si="29"/>
        <v>0</v>
      </c>
      <c r="H140" s="34">
        <f t="shared" si="29"/>
        <v>0</v>
      </c>
      <c r="I140" s="148">
        <f t="shared" si="24"/>
        <v>0</v>
      </c>
      <c r="J140" s="34" t="str">
        <f t="shared" si="27"/>
        <v/>
      </c>
      <c r="K140" s="35">
        <f>SUM(K141:K146)</f>
        <v>0</v>
      </c>
    </row>
    <row r="141" spans="1:11" ht="12.75" customHeight="1" x14ac:dyDescent="0.25">
      <c r="A141" s="606" t="s">
        <v>1218</v>
      </c>
      <c r="B141" s="90"/>
      <c r="C141" s="366">
        <f>SC13BQ!B141</f>
        <v>0</v>
      </c>
      <c r="D141" s="366">
        <f>SC13BQ!C141</f>
        <v>0</v>
      </c>
      <c r="E141" s="704">
        <f>SC13BQ!D141</f>
        <v>0</v>
      </c>
      <c r="F141" s="331">
        <f>SC13BQ!E141</f>
        <v>0</v>
      </c>
      <c r="G141" s="704">
        <f>SC13BQ!F141</f>
        <v>0</v>
      </c>
      <c r="H141" s="331">
        <f>SC13BQ!G141</f>
        <v>0</v>
      </c>
      <c r="I141" s="148">
        <f t="shared" si="24"/>
        <v>0</v>
      </c>
      <c r="J141" s="34" t="str">
        <f t="shared" si="27"/>
        <v/>
      </c>
      <c r="K141" s="367">
        <f>SC13BQ!J141</f>
        <v>0</v>
      </c>
    </row>
    <row r="142" spans="1:11" ht="12.75" customHeight="1" x14ac:dyDescent="0.25">
      <c r="A142" s="606" t="s">
        <v>1219</v>
      </c>
      <c r="B142" s="90"/>
      <c r="C142" s="366">
        <f>SC13BQ!B142</f>
        <v>0</v>
      </c>
      <c r="D142" s="366">
        <f>SC13BQ!C142</f>
        <v>0</v>
      </c>
      <c r="E142" s="704">
        <f>SC13BQ!D142</f>
        <v>0</v>
      </c>
      <c r="F142" s="331">
        <f>SC13BQ!E142</f>
        <v>0</v>
      </c>
      <c r="G142" s="704">
        <f>SC13BQ!F142</f>
        <v>0</v>
      </c>
      <c r="H142" s="331">
        <f>SC13BQ!G142</f>
        <v>0</v>
      </c>
      <c r="I142" s="148">
        <f t="shared" si="24"/>
        <v>0</v>
      </c>
      <c r="J142" s="34" t="str">
        <f t="shared" si="27"/>
        <v/>
      </c>
      <c r="K142" s="367">
        <f>SC13BQ!J142</f>
        <v>0</v>
      </c>
    </row>
    <row r="143" spans="1:11" ht="12.75" customHeight="1" x14ac:dyDescent="0.25">
      <c r="A143" s="606" t="s">
        <v>1220</v>
      </c>
      <c r="B143" s="90"/>
      <c r="C143" s="366">
        <f>SC13BQ!B143</f>
        <v>0</v>
      </c>
      <c r="D143" s="366">
        <f>SC13BQ!C143</f>
        <v>0</v>
      </c>
      <c r="E143" s="704">
        <f>SC13BQ!D143</f>
        <v>0</v>
      </c>
      <c r="F143" s="331">
        <f>SC13BQ!E143</f>
        <v>0</v>
      </c>
      <c r="G143" s="704">
        <f>SC13BQ!F143</f>
        <v>0</v>
      </c>
      <c r="H143" s="331">
        <f>SC13BQ!G143</f>
        <v>0</v>
      </c>
      <c r="I143" s="148">
        <f t="shared" si="24"/>
        <v>0</v>
      </c>
      <c r="J143" s="34" t="str">
        <f t="shared" si="27"/>
        <v/>
      </c>
      <c r="K143" s="367">
        <f>SC13BQ!J143</f>
        <v>0</v>
      </c>
    </row>
    <row r="144" spans="1:11" ht="12.75" customHeight="1" x14ac:dyDescent="0.25">
      <c r="A144" s="606" t="s">
        <v>1221</v>
      </c>
      <c r="B144" s="90"/>
      <c r="C144" s="366">
        <f>SC13BQ!B144</f>
        <v>2016054.78</v>
      </c>
      <c r="D144" s="366">
        <f>SC13BQ!C144</f>
        <v>0</v>
      </c>
      <c r="E144" s="704">
        <f>SC13BQ!D144</f>
        <v>0</v>
      </c>
      <c r="F144" s="331">
        <f>SC13BQ!E144</f>
        <v>0</v>
      </c>
      <c r="G144" s="704">
        <f>SC13BQ!F144</f>
        <v>0</v>
      </c>
      <c r="H144" s="331">
        <f>SC13BQ!G144</f>
        <v>0</v>
      </c>
      <c r="I144" s="148">
        <f t="shared" si="24"/>
        <v>0</v>
      </c>
      <c r="J144" s="34" t="str">
        <f t="shared" si="27"/>
        <v/>
      </c>
      <c r="K144" s="367">
        <f>SC13BQ!J144</f>
        <v>0</v>
      </c>
    </row>
    <row r="145" spans="1:11" ht="12.75" customHeight="1" x14ac:dyDescent="0.25">
      <c r="A145" s="606" t="s">
        <v>1222</v>
      </c>
      <c r="B145" s="90"/>
      <c r="C145" s="366">
        <f>SC13BQ!B145</f>
        <v>0</v>
      </c>
      <c r="D145" s="366">
        <f>SC13BQ!C145</f>
        <v>0</v>
      </c>
      <c r="E145" s="704">
        <f>SC13BQ!D145</f>
        <v>0</v>
      </c>
      <c r="F145" s="331">
        <f>SC13BQ!E145</f>
        <v>0</v>
      </c>
      <c r="G145" s="704">
        <f>SC13BQ!F145</f>
        <v>0</v>
      </c>
      <c r="H145" s="331">
        <f>SC13BQ!G145</f>
        <v>0</v>
      </c>
      <c r="I145" s="148">
        <f t="shared" si="24"/>
        <v>0</v>
      </c>
      <c r="J145" s="34" t="str">
        <f t="shared" si="27"/>
        <v/>
      </c>
      <c r="K145" s="367">
        <f>SC13BQ!J145</f>
        <v>0</v>
      </c>
    </row>
    <row r="146" spans="1:11" ht="12.75" customHeight="1" x14ac:dyDescent="0.25">
      <c r="A146" s="606" t="s">
        <v>1223</v>
      </c>
      <c r="B146" s="90"/>
      <c r="C146" s="366">
        <f>SC13BQ!B146</f>
        <v>0</v>
      </c>
      <c r="D146" s="366">
        <f>SC13BQ!C146</f>
        <v>0</v>
      </c>
      <c r="E146" s="704">
        <f>SC13BQ!D146</f>
        <v>0</v>
      </c>
      <c r="F146" s="331">
        <f>SC13BQ!E146</f>
        <v>0</v>
      </c>
      <c r="G146" s="704">
        <f>SC13BQ!F146</f>
        <v>0</v>
      </c>
      <c r="H146" s="331">
        <f>SC13BQ!G146</f>
        <v>0</v>
      </c>
      <c r="I146" s="148">
        <f t="shared" si="24"/>
        <v>0</v>
      </c>
      <c r="J146" s="34" t="str">
        <f t="shared" si="27"/>
        <v/>
      </c>
      <c r="K146" s="367">
        <f>SC13BQ!J146</f>
        <v>0</v>
      </c>
    </row>
    <row r="147" spans="1:11" ht="5.25" customHeight="1" x14ac:dyDescent="0.25">
      <c r="A147" s="32"/>
      <c r="B147" s="90"/>
      <c r="C147" s="74"/>
      <c r="D147" s="36"/>
      <c r="E147" s="33"/>
      <c r="F147" s="34"/>
      <c r="G147" s="33"/>
      <c r="H147" s="34"/>
      <c r="I147" s="148">
        <f t="shared" si="24"/>
        <v>0</v>
      </c>
      <c r="J147" s="34" t="str">
        <f t="shared" si="27"/>
        <v/>
      </c>
      <c r="K147" s="35"/>
    </row>
    <row r="148" spans="1:11" ht="12.75" customHeight="1" x14ac:dyDescent="0.25">
      <c r="A148" s="29" t="s">
        <v>1224</v>
      </c>
      <c r="B148" s="90"/>
      <c r="C148" s="220">
        <f t="shared" ref="C148:H148" si="30">SUM(C149:C149)</f>
        <v>0</v>
      </c>
      <c r="D148" s="297">
        <f t="shared" si="30"/>
        <v>0</v>
      </c>
      <c r="E148" s="737">
        <f t="shared" si="30"/>
        <v>0</v>
      </c>
      <c r="F148" s="221">
        <f t="shared" si="30"/>
        <v>0</v>
      </c>
      <c r="G148" s="737">
        <f t="shared" si="30"/>
        <v>0</v>
      </c>
      <c r="H148" s="221">
        <f t="shared" si="30"/>
        <v>0</v>
      </c>
      <c r="I148" s="148">
        <f t="shared" si="24"/>
        <v>0</v>
      </c>
      <c r="J148" s="34" t="str">
        <f t="shared" si="27"/>
        <v/>
      </c>
      <c r="K148" s="734">
        <f>SUM(K149)</f>
        <v>0</v>
      </c>
    </row>
    <row r="149" spans="1:11" ht="12.75" customHeight="1" x14ac:dyDescent="0.25">
      <c r="A149" s="30" t="s">
        <v>1224</v>
      </c>
      <c r="B149" s="90"/>
      <c r="C149" s="366">
        <f>SC13BQ!B149</f>
        <v>0</v>
      </c>
      <c r="D149" s="366">
        <f>SC13BQ!C149</f>
        <v>0</v>
      </c>
      <c r="E149" s="704">
        <f>SC13BQ!D149</f>
        <v>0</v>
      </c>
      <c r="F149" s="331">
        <f>SC13BQ!E149</f>
        <v>0</v>
      </c>
      <c r="G149" s="704">
        <f>SC13BQ!F149</f>
        <v>0</v>
      </c>
      <c r="H149" s="331">
        <f>SC13BQ!G149</f>
        <v>0</v>
      </c>
      <c r="I149" s="148">
        <f t="shared" si="24"/>
        <v>0</v>
      </c>
      <c r="J149" s="34" t="str">
        <f t="shared" si="27"/>
        <v/>
      </c>
      <c r="K149" s="367">
        <f>SC13BQ!J149</f>
        <v>0</v>
      </c>
    </row>
    <row r="150" spans="1:11" ht="5.0999999999999996" customHeight="1" x14ac:dyDescent="0.25">
      <c r="A150" s="32"/>
      <c r="B150" s="90"/>
      <c r="C150" s="74"/>
      <c r="D150" s="36"/>
      <c r="E150" s="33"/>
      <c r="F150" s="34"/>
      <c r="G150" s="33"/>
      <c r="H150" s="34"/>
      <c r="I150" s="148">
        <f t="shared" si="24"/>
        <v>0</v>
      </c>
      <c r="J150" s="34" t="str">
        <f t="shared" si="27"/>
        <v/>
      </c>
      <c r="K150" s="35"/>
    </row>
    <row r="151" spans="1:11" ht="12.75" customHeight="1" x14ac:dyDescent="0.25">
      <c r="A151" s="29" t="s">
        <v>1225</v>
      </c>
      <c r="B151" s="90"/>
      <c r="C151" s="220">
        <f t="shared" ref="C151:H151" si="31">SUM(C152:C152)</f>
        <v>0</v>
      </c>
      <c r="D151" s="297">
        <f t="shared" si="31"/>
        <v>8000</v>
      </c>
      <c r="E151" s="737">
        <f t="shared" si="31"/>
        <v>8000</v>
      </c>
      <c r="F151" s="221">
        <f t="shared" si="31"/>
        <v>0</v>
      </c>
      <c r="G151" s="737">
        <f t="shared" si="31"/>
        <v>0</v>
      </c>
      <c r="H151" s="221">
        <f t="shared" si="31"/>
        <v>0</v>
      </c>
      <c r="I151" s="148">
        <f t="shared" si="24"/>
        <v>0</v>
      </c>
      <c r="J151" s="34" t="str">
        <f t="shared" si="27"/>
        <v/>
      </c>
      <c r="K151" s="734">
        <f>SUM(K152)</f>
        <v>8000</v>
      </c>
    </row>
    <row r="152" spans="1:11" ht="12.75" customHeight="1" x14ac:dyDescent="0.25">
      <c r="A152" s="30" t="s">
        <v>1225</v>
      </c>
      <c r="B152" s="90"/>
      <c r="C152" s="366">
        <f>SC13BQ!B152</f>
        <v>0</v>
      </c>
      <c r="D152" s="366">
        <f>SC13BQ!C152</f>
        <v>8000</v>
      </c>
      <c r="E152" s="704">
        <f>SC13BQ!D152</f>
        <v>8000</v>
      </c>
      <c r="F152" s="331">
        <f>SC13BQ!E152</f>
        <v>0</v>
      </c>
      <c r="G152" s="704">
        <f>SC13BQ!F152</f>
        <v>0</v>
      </c>
      <c r="H152" s="331">
        <f>SC13BQ!G152</f>
        <v>0</v>
      </c>
      <c r="I152" s="148">
        <f t="shared" si="24"/>
        <v>0</v>
      </c>
      <c r="J152" s="34" t="str">
        <f t="shared" si="27"/>
        <v/>
      </c>
      <c r="K152" s="367">
        <f>SC13BQ!J152</f>
        <v>8000</v>
      </c>
    </row>
    <row r="153" spans="1:11" ht="5.0999999999999996" customHeight="1" x14ac:dyDescent="0.25">
      <c r="A153" s="32"/>
      <c r="B153" s="90"/>
      <c r="C153" s="74"/>
      <c r="D153" s="36"/>
      <c r="E153" s="33"/>
      <c r="F153" s="34"/>
      <c r="G153" s="33"/>
      <c r="H153" s="34"/>
      <c r="I153" s="148">
        <f t="shared" si="24"/>
        <v>0</v>
      </c>
      <c r="J153" s="34" t="str">
        <f t="shared" si="27"/>
        <v/>
      </c>
      <c r="K153" s="35"/>
    </row>
    <row r="154" spans="1:11" ht="12.75" customHeight="1" x14ac:dyDescent="0.25">
      <c r="A154" s="29" t="s">
        <v>1226</v>
      </c>
      <c r="B154" s="90"/>
      <c r="C154" s="220">
        <f t="shared" ref="C154:H154" si="32">SUM(C155:C155)</f>
        <v>16365729.109999999</v>
      </c>
      <c r="D154" s="297">
        <f t="shared" si="32"/>
        <v>2800000</v>
      </c>
      <c r="E154" s="737">
        <f t="shared" si="32"/>
        <v>4800000</v>
      </c>
      <c r="F154" s="221">
        <f t="shared" si="32"/>
        <v>0</v>
      </c>
      <c r="G154" s="737">
        <f t="shared" si="32"/>
        <v>0</v>
      </c>
      <c r="H154" s="221">
        <f t="shared" si="32"/>
        <v>2500000</v>
      </c>
      <c r="I154" s="148">
        <f t="shared" si="24"/>
        <v>2500000</v>
      </c>
      <c r="J154" s="34">
        <f t="shared" si="27"/>
        <v>1</v>
      </c>
      <c r="K154" s="734">
        <f>SUM(K155)</f>
        <v>4800000</v>
      </c>
    </row>
    <row r="155" spans="1:11" ht="12.75" customHeight="1" x14ac:dyDescent="0.25">
      <c r="A155" s="30" t="s">
        <v>1226</v>
      </c>
      <c r="B155" s="90"/>
      <c r="C155" s="366">
        <f>SC13BQ!B155</f>
        <v>16365729.109999999</v>
      </c>
      <c r="D155" s="366">
        <f>SC13BQ!C155</f>
        <v>2800000</v>
      </c>
      <c r="E155" s="704">
        <f>SC13BQ!D155</f>
        <v>4800000</v>
      </c>
      <c r="F155" s="331">
        <f>SC13BQ!E155</f>
        <v>0</v>
      </c>
      <c r="G155" s="704">
        <f>SC13BQ!F155</f>
        <v>0</v>
      </c>
      <c r="H155" s="331">
        <f>SC13BQ!G155</f>
        <v>2500000</v>
      </c>
      <c r="I155" s="148">
        <f t="shared" si="24"/>
        <v>2500000</v>
      </c>
      <c r="J155" s="34">
        <f t="shared" si="27"/>
        <v>1</v>
      </c>
      <c r="K155" s="367">
        <f>SC13BQ!J155</f>
        <v>4800000</v>
      </c>
    </row>
    <row r="156" spans="1:11" ht="5.0999999999999996" customHeight="1" x14ac:dyDescent="0.25">
      <c r="A156" s="32"/>
      <c r="B156" s="90"/>
      <c r="C156" s="74"/>
      <c r="D156" s="36"/>
      <c r="E156" s="33"/>
      <c r="F156" s="34"/>
      <c r="G156" s="33"/>
      <c r="H156" s="34"/>
      <c r="I156" s="148">
        <f t="shared" si="24"/>
        <v>0</v>
      </c>
      <c r="J156" s="34" t="str">
        <f t="shared" si="27"/>
        <v/>
      </c>
      <c r="K156" s="35"/>
    </row>
    <row r="157" spans="1:11" ht="12.75" customHeight="1" x14ac:dyDescent="0.25">
      <c r="A157" s="29" t="s">
        <v>1227</v>
      </c>
      <c r="B157" s="90"/>
      <c r="C157" s="220">
        <f t="shared" ref="C157:H157" si="33">SUM(C158:C158)</f>
        <v>0</v>
      </c>
      <c r="D157" s="297">
        <f t="shared" si="33"/>
        <v>0</v>
      </c>
      <c r="E157" s="737">
        <f t="shared" si="33"/>
        <v>0</v>
      </c>
      <c r="F157" s="221">
        <f t="shared" si="33"/>
        <v>0</v>
      </c>
      <c r="G157" s="737">
        <f t="shared" si="33"/>
        <v>0</v>
      </c>
      <c r="H157" s="221">
        <f t="shared" si="33"/>
        <v>0</v>
      </c>
      <c r="I157" s="148">
        <f t="shared" si="24"/>
        <v>0</v>
      </c>
      <c r="J157" s="34" t="str">
        <f t="shared" si="27"/>
        <v/>
      </c>
      <c r="K157" s="734">
        <f>SUM(K158)</f>
        <v>0</v>
      </c>
    </row>
    <row r="158" spans="1:11" ht="12.75" customHeight="1" x14ac:dyDescent="0.25">
      <c r="A158" s="30" t="s">
        <v>1227</v>
      </c>
      <c r="B158" s="90"/>
      <c r="C158" s="366">
        <f>SC13BQ!B158</f>
        <v>0</v>
      </c>
      <c r="D158" s="366">
        <f>SC13BQ!C158</f>
        <v>0</v>
      </c>
      <c r="E158" s="704">
        <f>SC13BQ!D158</f>
        <v>0</v>
      </c>
      <c r="F158" s="331">
        <f>SC13BQ!E158</f>
        <v>0</v>
      </c>
      <c r="G158" s="704">
        <f>SC13BQ!F158</f>
        <v>0</v>
      </c>
      <c r="H158" s="331">
        <f>SC13BQ!G158</f>
        <v>0</v>
      </c>
      <c r="I158" s="148">
        <f t="shared" si="24"/>
        <v>0</v>
      </c>
      <c r="J158" s="34" t="str">
        <f t="shared" si="27"/>
        <v/>
      </c>
      <c r="K158" s="367">
        <f>SC13BQ!J158</f>
        <v>0</v>
      </c>
    </row>
    <row r="159" spans="1:11" ht="5.0999999999999996" customHeight="1" x14ac:dyDescent="0.25">
      <c r="A159" s="32"/>
      <c r="B159" s="90"/>
      <c r="C159" s="74"/>
      <c r="D159" s="36"/>
      <c r="E159" s="33"/>
      <c r="F159" s="34"/>
      <c r="G159" s="33"/>
      <c r="H159" s="34"/>
      <c r="I159" s="148">
        <f t="shared" si="24"/>
        <v>0</v>
      </c>
      <c r="J159" s="34" t="str">
        <f t="shared" si="27"/>
        <v/>
      </c>
      <c r="K159" s="35"/>
    </row>
    <row r="160" spans="1:11" ht="12.75" customHeight="1" x14ac:dyDescent="0.25">
      <c r="A160" s="29" t="s">
        <v>1235</v>
      </c>
      <c r="B160" s="90"/>
      <c r="C160" s="220">
        <f t="shared" ref="C160:H160" si="34">SUM(C161:C161)</f>
        <v>0</v>
      </c>
      <c r="D160" s="297">
        <f t="shared" si="34"/>
        <v>0</v>
      </c>
      <c r="E160" s="737">
        <f t="shared" si="34"/>
        <v>0</v>
      </c>
      <c r="F160" s="221">
        <f t="shared" si="34"/>
        <v>0</v>
      </c>
      <c r="G160" s="737">
        <f t="shared" si="34"/>
        <v>0</v>
      </c>
      <c r="H160" s="221">
        <f t="shared" si="34"/>
        <v>0</v>
      </c>
      <c r="I160" s="148">
        <f t="shared" si="24"/>
        <v>0</v>
      </c>
      <c r="J160" s="34" t="str">
        <f t="shared" si="27"/>
        <v/>
      </c>
      <c r="K160" s="734">
        <f>SUM(K161)</f>
        <v>0</v>
      </c>
    </row>
    <row r="161" spans="1:11" ht="12.75" customHeight="1" x14ac:dyDescent="0.25">
      <c r="A161" s="30" t="s">
        <v>1235</v>
      </c>
      <c r="B161" s="90"/>
      <c r="C161" s="366">
        <f>SC13BQ!B161</f>
        <v>0</v>
      </c>
      <c r="D161" s="366">
        <f>SC13BQ!C161</f>
        <v>0</v>
      </c>
      <c r="E161" s="704">
        <f>SC13BQ!D161</f>
        <v>0</v>
      </c>
      <c r="F161" s="331">
        <f>SC13BQ!E161</f>
        <v>0</v>
      </c>
      <c r="G161" s="704">
        <f>SC13BQ!F161</f>
        <v>0</v>
      </c>
      <c r="H161" s="331">
        <f>SC13BQ!G161</f>
        <v>0</v>
      </c>
      <c r="I161" s="148">
        <f t="shared" si="24"/>
        <v>0</v>
      </c>
      <c r="J161" s="34" t="str">
        <f t="shared" si="27"/>
        <v/>
      </c>
      <c r="K161" s="367">
        <f>SC13BQ!J161</f>
        <v>0</v>
      </c>
    </row>
    <row r="162" spans="1:11" ht="5.0999999999999996" customHeight="1" x14ac:dyDescent="0.25">
      <c r="A162" s="32"/>
      <c r="B162" s="90"/>
      <c r="C162" s="74"/>
      <c r="D162" s="36"/>
      <c r="E162" s="33"/>
      <c r="F162" s="34"/>
      <c r="G162" s="33"/>
      <c r="H162" s="34"/>
      <c r="I162" s="148">
        <f t="shared" si="24"/>
        <v>0</v>
      </c>
      <c r="J162" s="34" t="str">
        <f t="shared" si="27"/>
        <v/>
      </c>
      <c r="K162" s="35"/>
    </row>
    <row r="163" spans="1:11" ht="12.75" customHeight="1" x14ac:dyDescent="0.25">
      <c r="A163" s="29" t="s">
        <v>1228</v>
      </c>
      <c r="B163" s="90"/>
      <c r="C163" s="220">
        <f t="shared" ref="C163:H163" si="35">SUM(C164:C164)</f>
        <v>0</v>
      </c>
      <c r="D163" s="297">
        <f t="shared" si="35"/>
        <v>0</v>
      </c>
      <c r="E163" s="737">
        <f t="shared" si="35"/>
        <v>0</v>
      </c>
      <c r="F163" s="221">
        <f t="shared" si="35"/>
        <v>0</v>
      </c>
      <c r="G163" s="737">
        <f t="shared" si="35"/>
        <v>0</v>
      </c>
      <c r="H163" s="221">
        <f t="shared" si="35"/>
        <v>0</v>
      </c>
      <c r="I163" s="148">
        <f t="shared" si="24"/>
        <v>0</v>
      </c>
      <c r="J163" s="34" t="str">
        <f t="shared" si="27"/>
        <v/>
      </c>
      <c r="K163" s="734">
        <f>SUM(K164)</f>
        <v>0</v>
      </c>
    </row>
    <row r="164" spans="1:11" x14ac:dyDescent="0.25">
      <c r="A164" s="30" t="s">
        <v>1228</v>
      </c>
      <c r="B164" s="90"/>
      <c r="C164" s="366">
        <f>SC13BQ!B164</f>
        <v>0</v>
      </c>
      <c r="D164" s="366">
        <f>SC13BQ!C164</f>
        <v>0</v>
      </c>
      <c r="E164" s="704">
        <f>SC13BQ!D164</f>
        <v>0</v>
      </c>
      <c r="F164" s="331">
        <f>SC13BQ!E164</f>
        <v>0</v>
      </c>
      <c r="G164" s="704">
        <f>SC13BQ!F164</f>
        <v>0</v>
      </c>
      <c r="H164" s="331">
        <f>SC13BQ!G164</f>
        <v>0</v>
      </c>
      <c r="I164" s="148">
        <f t="shared" si="24"/>
        <v>0</v>
      </c>
      <c r="J164" s="34" t="str">
        <f t="shared" si="27"/>
        <v/>
      </c>
      <c r="K164" s="367">
        <f>SC13BQ!J164</f>
        <v>0</v>
      </c>
    </row>
    <row r="165" spans="1:11" x14ac:dyDescent="0.25">
      <c r="A165" s="30"/>
      <c r="B165" s="90"/>
      <c r="C165" s="74"/>
      <c r="D165" s="36"/>
      <c r="E165" s="33"/>
      <c r="F165" s="34"/>
      <c r="G165" s="33"/>
      <c r="H165" s="34"/>
      <c r="I165" s="148">
        <f t="shared" si="24"/>
        <v>0</v>
      </c>
      <c r="J165" s="34" t="str">
        <f t="shared" si="27"/>
        <v/>
      </c>
      <c r="K165" s="35"/>
    </row>
    <row r="166" spans="1:11" x14ac:dyDescent="0.25">
      <c r="A166" s="616" t="s">
        <v>1342</v>
      </c>
      <c r="B166" s="90"/>
      <c r="C166" s="69">
        <f t="shared" ref="C166:H166" si="36">+C167+C170</f>
        <v>0</v>
      </c>
      <c r="D166" s="39">
        <f t="shared" si="36"/>
        <v>0</v>
      </c>
      <c r="E166" s="37">
        <f t="shared" si="36"/>
        <v>0</v>
      </c>
      <c r="F166" s="38">
        <f t="shared" si="36"/>
        <v>0</v>
      </c>
      <c r="G166" s="37">
        <f t="shared" si="36"/>
        <v>0</v>
      </c>
      <c r="H166" s="38">
        <f t="shared" si="36"/>
        <v>0</v>
      </c>
      <c r="I166" s="148">
        <f t="shared" si="24"/>
        <v>0</v>
      </c>
      <c r="J166" s="34" t="str">
        <f t="shared" si="27"/>
        <v/>
      </c>
      <c r="K166" s="717">
        <f>+K167+K170</f>
        <v>0</v>
      </c>
    </row>
    <row r="167" spans="1:11" x14ac:dyDescent="0.25">
      <c r="A167" s="612" t="s">
        <v>1343</v>
      </c>
      <c r="B167" s="90"/>
      <c r="C167" s="74">
        <f t="shared" ref="C167:H167" si="37">+C168+C169</f>
        <v>0</v>
      </c>
      <c r="D167" s="36">
        <f t="shared" si="37"/>
        <v>0</v>
      </c>
      <c r="E167" s="33">
        <f t="shared" si="37"/>
        <v>0</v>
      </c>
      <c r="F167" s="34">
        <f t="shared" si="37"/>
        <v>0</v>
      </c>
      <c r="G167" s="33">
        <f t="shared" si="37"/>
        <v>0</v>
      </c>
      <c r="H167" s="34">
        <f t="shared" si="37"/>
        <v>0</v>
      </c>
      <c r="I167" s="148">
        <f t="shared" si="24"/>
        <v>0</v>
      </c>
      <c r="J167" s="34" t="str">
        <f t="shared" si="27"/>
        <v/>
      </c>
      <c r="K167" s="35">
        <f>+K168+K169</f>
        <v>0</v>
      </c>
    </row>
    <row r="168" spans="1:11" x14ac:dyDescent="0.25">
      <c r="A168" s="617" t="s">
        <v>1344</v>
      </c>
      <c r="B168" s="90"/>
      <c r="C168" s="379"/>
      <c r="D168" s="366"/>
      <c r="E168" s="704"/>
      <c r="F168" s="331"/>
      <c r="G168" s="704"/>
      <c r="H168" s="331"/>
      <c r="I168" s="148">
        <f t="shared" si="24"/>
        <v>0</v>
      </c>
      <c r="J168" s="34" t="str">
        <f t="shared" si="27"/>
        <v/>
      </c>
      <c r="K168" s="367"/>
    </row>
    <row r="169" spans="1:11" x14ac:dyDescent="0.25">
      <c r="A169" s="617" t="s">
        <v>1345</v>
      </c>
      <c r="B169" s="90"/>
      <c r="C169" s="379"/>
      <c r="D169" s="366"/>
      <c r="E169" s="704"/>
      <c r="F169" s="331"/>
      <c r="G169" s="704"/>
      <c r="H169" s="331"/>
      <c r="I169" s="148">
        <f t="shared" si="24"/>
        <v>0</v>
      </c>
      <c r="J169" s="34" t="str">
        <f t="shared" si="27"/>
        <v/>
      </c>
      <c r="K169" s="367"/>
    </row>
    <row r="170" spans="1:11" x14ac:dyDescent="0.25">
      <c r="A170" s="612" t="s">
        <v>1346</v>
      </c>
      <c r="B170" s="90"/>
      <c r="C170" s="74">
        <f t="shared" ref="C170:H170" si="38">+C171+C172</f>
        <v>0</v>
      </c>
      <c r="D170" s="36">
        <f t="shared" si="38"/>
        <v>0</v>
      </c>
      <c r="E170" s="33">
        <f t="shared" si="38"/>
        <v>0</v>
      </c>
      <c r="F170" s="34">
        <f t="shared" si="38"/>
        <v>0</v>
      </c>
      <c r="G170" s="33">
        <f t="shared" si="38"/>
        <v>0</v>
      </c>
      <c r="H170" s="34">
        <f t="shared" si="38"/>
        <v>0</v>
      </c>
      <c r="I170" s="148">
        <f t="shared" si="24"/>
        <v>0</v>
      </c>
      <c r="J170" s="34" t="str">
        <f t="shared" si="27"/>
        <v/>
      </c>
      <c r="K170" s="35">
        <f>+K171+K172</f>
        <v>0</v>
      </c>
    </row>
    <row r="171" spans="1:11" x14ac:dyDescent="0.25">
      <c r="A171" s="617" t="s">
        <v>1344</v>
      </c>
      <c r="B171" s="90"/>
      <c r="C171" s="379"/>
      <c r="D171" s="366"/>
      <c r="E171" s="704"/>
      <c r="F171" s="331"/>
      <c r="G171" s="704"/>
      <c r="H171" s="331"/>
      <c r="I171" s="148">
        <f t="shared" si="24"/>
        <v>0</v>
      </c>
      <c r="J171" s="34" t="str">
        <f t="shared" si="27"/>
        <v/>
      </c>
      <c r="K171" s="367"/>
    </row>
    <row r="172" spans="1:11" x14ac:dyDescent="0.25">
      <c r="A172" s="617" t="s">
        <v>1345</v>
      </c>
      <c r="B172" s="90"/>
      <c r="C172" s="379"/>
      <c r="D172" s="366"/>
      <c r="E172" s="704"/>
      <c r="F172" s="392"/>
      <c r="G172" s="704"/>
      <c r="H172" s="392"/>
      <c r="I172" s="148">
        <f t="shared" si="24"/>
        <v>0</v>
      </c>
      <c r="J172" s="34" t="str">
        <f t="shared" si="27"/>
        <v/>
      </c>
      <c r="K172" s="367"/>
    </row>
    <row r="173" spans="1:11" ht="12.75" customHeight="1" x14ac:dyDescent="0.25">
      <c r="A173" s="40" t="s">
        <v>1347</v>
      </c>
      <c r="B173" s="130">
        <v>1</v>
      </c>
      <c r="C173" s="220">
        <f t="shared" ref="C173:H173" si="39">C7+C75+C103+C110+C117+C135+C138+C148+C151+C154+C157+C160+C163+C166</f>
        <v>297160376.24000001</v>
      </c>
      <c r="D173" s="220">
        <f t="shared" si="39"/>
        <v>220702300</v>
      </c>
      <c r="E173" s="220">
        <f t="shared" si="39"/>
        <v>251889000</v>
      </c>
      <c r="F173" s="220">
        <f t="shared" si="39"/>
        <v>23631386.600000001</v>
      </c>
      <c r="G173" s="220">
        <f t="shared" si="39"/>
        <v>219558545.77000001</v>
      </c>
      <c r="H173" s="220">
        <f t="shared" si="39"/>
        <v>237351578.77000001</v>
      </c>
      <c r="I173" s="220">
        <f t="shared" si="24"/>
        <v>17793033</v>
      </c>
      <c r="J173" s="220">
        <f t="shared" si="27"/>
        <v>7.4964881599721409E-2</v>
      </c>
      <c r="K173" s="220">
        <f>K7+K75+K103+K110+K117+K135+K138+K148+K151+K154+K157+K160+K163+K166</f>
        <v>251889000</v>
      </c>
    </row>
    <row r="174" spans="1:11" ht="12.75" customHeight="1" x14ac:dyDescent="0.25">
      <c r="A174" s="43"/>
      <c r="C174" s="37"/>
      <c r="D174" s="37"/>
      <c r="E174" s="37"/>
      <c r="F174" s="37"/>
      <c r="G174" s="37"/>
      <c r="H174" s="37"/>
      <c r="I174" s="741"/>
      <c r="J174" s="742"/>
      <c r="K174" s="37"/>
    </row>
    <row r="175" spans="1:11" ht="12.75" customHeight="1" x14ac:dyDescent="0.25">
      <c r="A175" s="64" t="str">
        <f>head27a</f>
        <v>References</v>
      </c>
      <c r="C175" s="316"/>
      <c r="D175" s="316"/>
      <c r="E175" s="316"/>
      <c r="F175" s="316"/>
      <c r="G175" s="316"/>
      <c r="H175" s="316"/>
      <c r="I175" s="316"/>
      <c r="J175" s="316"/>
      <c r="K175" s="316"/>
    </row>
    <row r="176" spans="1:11" ht="12.75" customHeight="1" x14ac:dyDescent="0.25">
      <c r="A176" s="73" t="s">
        <v>1232</v>
      </c>
      <c r="C176" s="316"/>
      <c r="D176" s="316"/>
      <c r="E176" s="316"/>
      <c r="F176" s="316"/>
      <c r="G176" s="316"/>
      <c r="H176" s="316"/>
      <c r="I176" s="316"/>
      <c r="J176" s="316"/>
      <c r="K176" s="316"/>
    </row>
    <row r="177" spans="1:11" ht="11.25" customHeight="1" x14ac:dyDescent="0.25">
      <c r="C177" s="316"/>
      <c r="D177" s="316"/>
      <c r="E177" s="316"/>
      <c r="F177" s="316"/>
      <c r="G177" s="316"/>
      <c r="H177" s="316"/>
      <c r="I177" s="316"/>
      <c r="J177" s="316"/>
      <c r="K177" s="316"/>
    </row>
    <row r="178" spans="1:11" ht="11.25" customHeight="1" x14ac:dyDescent="0.25">
      <c r="A178" s="56" t="s">
        <v>668</v>
      </c>
      <c r="B178" s="44"/>
      <c r="C178" s="610">
        <f>C173+SC13a!C172+SC13e!C173-'C5-Capex'!C40</f>
        <v>0</v>
      </c>
      <c r="D178" s="610">
        <f>D173+SC13a!D172+SC13e!D173-'C5-Capex'!D40</f>
        <v>0</v>
      </c>
      <c r="E178" s="610">
        <f>E173+SC13a!E172+SC13e!E173-'C5-Capex'!E40</f>
        <v>0</v>
      </c>
      <c r="F178" s="610">
        <f>F173+SC13a!F172+SC13e!F173-'C5-Capex'!F40</f>
        <v>0</v>
      </c>
      <c r="G178" s="610">
        <f>G173+SC13a!G172+SC13e!G173-'C5-Capex'!G40</f>
        <v>0</v>
      </c>
      <c r="H178" s="610">
        <f>H173+SC13a!H172+SC13e!H173-'C5-Capex'!H40</f>
        <v>0</v>
      </c>
      <c r="I178" s="610"/>
      <c r="J178" s="610"/>
      <c r="K178" s="610">
        <f>K173+SC13a!K172+SC13e!K173-'C5-Capex'!K40</f>
        <v>0</v>
      </c>
    </row>
    <row r="179" spans="1:11" ht="11.25" customHeight="1" x14ac:dyDescent="0.25"/>
    <row r="180" spans="1:11" ht="11.25" customHeight="1" x14ac:dyDescent="0.25"/>
    <row r="181" spans="1:11" ht="11.25" customHeight="1" x14ac:dyDescent="0.25"/>
    <row r="182" spans="1:11" ht="11.25" customHeight="1" x14ac:dyDescent="0.25"/>
    <row r="183" spans="1:11" ht="11.25" customHeight="1" x14ac:dyDescent="0.25"/>
    <row r="184" spans="1:11" ht="11.25" customHeight="1" x14ac:dyDescent="0.25"/>
    <row r="185" spans="1:11" ht="11.25" customHeight="1" x14ac:dyDescent="0.25"/>
    <row r="186" spans="1:11" ht="11.25" customHeight="1" x14ac:dyDescent="0.25"/>
    <row r="187" spans="1:11" ht="11.25" customHeight="1" x14ac:dyDescent="0.25"/>
    <row r="188" spans="1:11" ht="11.25" customHeight="1" x14ac:dyDescent="0.25"/>
    <row r="189" spans="1:11" ht="11.25" customHeight="1" x14ac:dyDescent="0.25"/>
    <row r="190" spans="1:11" ht="11.25" customHeight="1" x14ac:dyDescent="0.25"/>
    <row r="191" spans="1:11" ht="11.25" customHeight="1" x14ac:dyDescent="0.25"/>
    <row r="192" spans="1: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sheetData>
  <mergeCells count="3">
    <mergeCell ref="A1:K1"/>
    <mergeCell ref="A2:A3"/>
    <mergeCell ref="B2:B3"/>
  </mergeCells>
  <phoneticPr fontId="2" type="noConversion"/>
  <pageMargins left="0.94488188976377963" right="0.74803149606299213" top="0.98425196850393704" bottom="0.98425196850393704" header="0.51181102362204722" footer="0.51181102362204722"/>
  <pageSetup paperSize="8" orientation="portrait" r:id="rId1"/>
  <headerFooter alignWithMargins="0">
    <oddFooter>&amp;L&amp;F&amp;C&amp;A&amp;R&amp;D</oddFoot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165"/>
  <sheetViews>
    <sheetView topLeftCell="A130" workbookViewId="0">
      <selection activeCell="B165" sqref="B165"/>
    </sheetView>
  </sheetViews>
  <sheetFormatPr defaultRowHeight="12.75" x14ac:dyDescent="0.2"/>
  <cols>
    <col min="1" max="1" width="53.42578125" bestFit="1" customWidth="1"/>
    <col min="2" max="2" width="15" bestFit="1" customWidth="1"/>
    <col min="3" max="3" width="13.5703125" bestFit="1" customWidth="1"/>
    <col min="4" max="4" width="14.28515625" bestFit="1" customWidth="1"/>
    <col min="5" max="5" width="13.7109375" bestFit="1" customWidth="1"/>
    <col min="6" max="6" width="17.85546875" bestFit="1" customWidth="1"/>
    <col min="7" max="7" width="17.7109375" bestFit="1" customWidth="1"/>
    <col min="8" max="8" width="12.42578125" bestFit="1" customWidth="1"/>
    <col min="9" max="9" width="19.7109375" bestFit="1" customWidth="1"/>
    <col min="10" max="10" width="16" bestFit="1" customWidth="1"/>
  </cols>
  <sheetData>
    <row r="1" spans="1:10" x14ac:dyDescent="0.2">
      <c r="A1" s="756" t="s">
        <v>973</v>
      </c>
      <c r="B1" s="660" t="s">
        <v>471</v>
      </c>
      <c r="C1" s="660" t="s">
        <v>558</v>
      </c>
      <c r="D1" s="660" t="s">
        <v>773</v>
      </c>
      <c r="E1" s="660" t="s">
        <v>1545</v>
      </c>
      <c r="F1" s="660" t="s">
        <v>1546</v>
      </c>
      <c r="G1" s="660" t="s">
        <v>1547</v>
      </c>
      <c r="H1" s="660" t="s">
        <v>1548</v>
      </c>
      <c r="I1" s="660" t="s">
        <v>1549</v>
      </c>
      <c r="J1" s="660" t="s">
        <v>774</v>
      </c>
    </row>
    <row r="2" spans="1:10" x14ac:dyDescent="0.2">
      <c r="A2" s="659" t="s">
        <v>2066</v>
      </c>
      <c r="B2" s="661" t="s">
        <v>973</v>
      </c>
      <c r="C2" s="661" t="s">
        <v>973</v>
      </c>
      <c r="D2" s="661" t="s">
        <v>973</v>
      </c>
      <c r="E2" s="661" t="s">
        <v>973</v>
      </c>
      <c r="F2" s="661" t="s">
        <v>973</v>
      </c>
      <c r="G2" s="661" t="s">
        <v>973</v>
      </c>
      <c r="H2" s="661" t="s">
        <v>973</v>
      </c>
      <c r="I2" s="661" t="s">
        <v>528</v>
      </c>
      <c r="J2" s="661" t="s">
        <v>973</v>
      </c>
    </row>
    <row r="3" spans="1:10" x14ac:dyDescent="0.2">
      <c r="A3" s="638" t="s">
        <v>2067</v>
      </c>
      <c r="B3" s="637"/>
      <c r="C3" s="637"/>
      <c r="D3" s="637"/>
      <c r="E3" s="637"/>
      <c r="F3" s="637"/>
      <c r="G3" s="637"/>
      <c r="H3" s="637"/>
      <c r="I3" s="637"/>
      <c r="J3" s="637"/>
    </row>
    <row r="4" spans="1:10" x14ac:dyDescent="0.2">
      <c r="A4" s="639" t="s">
        <v>592</v>
      </c>
      <c r="B4" s="637">
        <v>250949285.84</v>
      </c>
      <c r="C4" s="637">
        <v>208046300</v>
      </c>
      <c r="D4" s="637">
        <v>229146600</v>
      </c>
      <c r="E4" s="637">
        <v>7418225.1200000001</v>
      </c>
      <c r="F4" s="637">
        <v>191169960.41999999</v>
      </c>
      <c r="G4" s="637">
        <v>220009696.22999999</v>
      </c>
      <c r="H4" s="637">
        <v>28839735.809999999</v>
      </c>
      <c r="I4" s="637">
        <v>251.88311647924701</v>
      </c>
      <c r="J4" s="637">
        <v>229146600</v>
      </c>
    </row>
    <row r="5" spans="1:10" x14ac:dyDescent="0.2">
      <c r="A5" s="640" t="s">
        <v>1119</v>
      </c>
      <c r="B5" s="637">
        <v>32164708.34</v>
      </c>
      <c r="C5" s="637">
        <v>13953000</v>
      </c>
      <c r="D5" s="637">
        <v>34133800</v>
      </c>
      <c r="E5" s="637"/>
      <c r="F5" s="637">
        <v>30540927.219999999</v>
      </c>
      <c r="G5" s="637">
        <v>45227724.869999997</v>
      </c>
      <c r="H5" s="637">
        <v>14686797.65</v>
      </c>
      <c r="I5" s="637">
        <v>32.472996800557397</v>
      </c>
      <c r="J5" s="637">
        <v>34133800</v>
      </c>
    </row>
    <row r="6" spans="1:10" x14ac:dyDescent="0.2">
      <c r="A6" s="641" t="s">
        <v>150</v>
      </c>
      <c r="B6" s="637">
        <v>31933435.960000001</v>
      </c>
      <c r="C6" s="637">
        <v>13953000</v>
      </c>
      <c r="D6" s="637">
        <v>34133800</v>
      </c>
      <c r="E6" s="637"/>
      <c r="F6" s="637">
        <v>30540927.219999999</v>
      </c>
      <c r="G6" s="637">
        <v>45227724.869999997</v>
      </c>
      <c r="H6" s="637">
        <v>14686797.65</v>
      </c>
      <c r="I6" s="637">
        <v>32.472996800557397</v>
      </c>
      <c r="J6" s="637">
        <v>34133800</v>
      </c>
    </row>
    <row r="7" spans="1:10" x14ac:dyDescent="0.2">
      <c r="A7" s="641" t="s">
        <v>1120</v>
      </c>
      <c r="B7" s="637">
        <v>231272.38</v>
      </c>
      <c r="C7" s="637"/>
      <c r="D7" s="637"/>
      <c r="E7" s="637"/>
      <c r="F7" s="637"/>
      <c r="G7" s="637"/>
      <c r="H7" s="637"/>
      <c r="I7" s="637"/>
      <c r="J7" s="637"/>
    </row>
    <row r="8" spans="1:10" x14ac:dyDescent="0.2">
      <c r="A8" s="641" t="s">
        <v>1121</v>
      </c>
      <c r="B8" s="637"/>
      <c r="C8" s="637"/>
      <c r="D8" s="637"/>
      <c r="E8" s="637"/>
      <c r="F8" s="637"/>
      <c r="G8" s="637"/>
      <c r="H8" s="637"/>
      <c r="I8" s="637"/>
      <c r="J8" s="637"/>
    </row>
    <row r="9" spans="1:10" x14ac:dyDescent="0.2">
      <c r="A9" s="641" t="s">
        <v>1122</v>
      </c>
      <c r="B9" s="637"/>
      <c r="C9" s="637"/>
      <c r="D9" s="637"/>
      <c r="E9" s="637"/>
      <c r="F9" s="637"/>
      <c r="G9" s="637"/>
      <c r="H9" s="637"/>
      <c r="I9" s="637"/>
      <c r="J9" s="637"/>
    </row>
    <row r="10" spans="1:10" x14ac:dyDescent="0.2">
      <c r="A10" s="640" t="s">
        <v>1123</v>
      </c>
      <c r="B10" s="637">
        <v>0</v>
      </c>
      <c r="C10" s="637">
        <v>200000</v>
      </c>
      <c r="D10" s="637">
        <v>200000</v>
      </c>
      <c r="E10" s="637"/>
      <c r="F10" s="637">
        <v>200000</v>
      </c>
      <c r="G10" s="637">
        <v>200000</v>
      </c>
      <c r="H10" s="637">
        <v>0</v>
      </c>
      <c r="I10" s="637">
        <v>0</v>
      </c>
      <c r="J10" s="637">
        <v>200000</v>
      </c>
    </row>
    <row r="11" spans="1:10" x14ac:dyDescent="0.2">
      <c r="A11" s="641" t="s">
        <v>1124</v>
      </c>
      <c r="B11" s="637">
        <v>0</v>
      </c>
      <c r="C11" s="637">
        <v>200000</v>
      </c>
      <c r="D11" s="637">
        <v>200000</v>
      </c>
      <c r="E11" s="637"/>
      <c r="F11" s="637">
        <v>200000</v>
      </c>
      <c r="G11" s="637">
        <v>200000</v>
      </c>
      <c r="H11" s="637">
        <v>0</v>
      </c>
      <c r="I11" s="637">
        <v>0</v>
      </c>
      <c r="J11" s="637">
        <v>200000</v>
      </c>
    </row>
    <row r="12" spans="1:10" x14ac:dyDescent="0.2">
      <c r="A12" s="641" t="s">
        <v>1125</v>
      </c>
      <c r="B12" s="637"/>
      <c r="C12" s="637"/>
      <c r="D12" s="637"/>
      <c r="E12" s="637"/>
      <c r="F12" s="637"/>
      <c r="G12" s="637"/>
      <c r="H12" s="637"/>
      <c r="I12" s="637"/>
      <c r="J12" s="637"/>
    </row>
    <row r="13" spans="1:10" x14ac:dyDescent="0.2">
      <c r="A13" s="641" t="s">
        <v>1126</v>
      </c>
      <c r="B13" s="637"/>
      <c r="C13" s="637"/>
      <c r="D13" s="637"/>
      <c r="E13" s="637"/>
      <c r="F13" s="637"/>
      <c r="G13" s="637"/>
      <c r="H13" s="637"/>
      <c r="I13" s="637"/>
      <c r="J13" s="637"/>
    </row>
    <row r="14" spans="1:10" x14ac:dyDescent="0.2">
      <c r="A14" s="640" t="s">
        <v>1127</v>
      </c>
      <c r="B14" s="637">
        <v>57309944.780000001</v>
      </c>
      <c r="C14" s="637">
        <v>42893300</v>
      </c>
      <c r="D14" s="637">
        <v>56448300</v>
      </c>
      <c r="E14" s="637">
        <v>6559761.2999999998</v>
      </c>
      <c r="F14" s="637">
        <v>10480189.050000001</v>
      </c>
      <c r="G14" s="637">
        <v>30821469.16</v>
      </c>
      <c r="H14" s="637">
        <v>20341280.109999999</v>
      </c>
      <c r="I14" s="637">
        <v>306.76504196044402</v>
      </c>
      <c r="J14" s="637">
        <v>56448300</v>
      </c>
    </row>
    <row r="15" spans="1:10" x14ac:dyDescent="0.2">
      <c r="A15" s="641" t="s">
        <v>1128</v>
      </c>
      <c r="B15" s="637"/>
      <c r="C15" s="637"/>
      <c r="D15" s="637"/>
      <c r="E15" s="637"/>
      <c r="F15" s="637"/>
      <c r="G15" s="637"/>
      <c r="H15" s="637"/>
      <c r="I15" s="637"/>
      <c r="J15" s="637"/>
    </row>
    <row r="16" spans="1:10" x14ac:dyDescent="0.2">
      <c r="A16" s="641" t="s">
        <v>1129</v>
      </c>
      <c r="B16" s="637">
        <v>16209207.539999999</v>
      </c>
      <c r="C16" s="637"/>
      <c r="D16" s="637">
        <v>0</v>
      </c>
      <c r="E16" s="637">
        <v>0</v>
      </c>
      <c r="F16" s="637">
        <v>0</v>
      </c>
      <c r="G16" s="637">
        <v>1500000</v>
      </c>
      <c r="H16" s="637">
        <v>1500000</v>
      </c>
      <c r="I16" s="637">
        <v>100</v>
      </c>
      <c r="J16" s="637">
        <v>0</v>
      </c>
    </row>
    <row r="17" spans="1:10" x14ac:dyDescent="0.2">
      <c r="A17" s="641" t="s">
        <v>1130</v>
      </c>
      <c r="B17" s="637">
        <v>19248860.399999999</v>
      </c>
      <c r="C17" s="637"/>
      <c r="D17" s="637"/>
      <c r="E17" s="637"/>
      <c r="F17" s="637"/>
      <c r="G17" s="637"/>
      <c r="H17" s="637"/>
      <c r="I17" s="637"/>
      <c r="J17" s="637"/>
    </row>
    <row r="18" spans="1:10" x14ac:dyDescent="0.2">
      <c r="A18" s="641" t="s">
        <v>1131</v>
      </c>
      <c r="B18" s="637">
        <v>9079997.0899999999</v>
      </c>
      <c r="C18" s="637">
        <v>17000800</v>
      </c>
      <c r="D18" s="637">
        <v>30555800</v>
      </c>
      <c r="E18" s="637">
        <v>6370321.2999999998</v>
      </c>
      <c r="F18" s="637">
        <v>8973771.3000000007</v>
      </c>
      <c r="G18" s="637">
        <v>13195550</v>
      </c>
      <c r="H18" s="637">
        <v>4221778.7</v>
      </c>
      <c r="I18" s="637">
        <v>31.993957811535001</v>
      </c>
      <c r="J18" s="637">
        <v>30555800</v>
      </c>
    </row>
    <row r="19" spans="1:10" x14ac:dyDescent="0.2">
      <c r="A19" s="641" t="s">
        <v>1132</v>
      </c>
      <c r="B19" s="637"/>
      <c r="C19" s="637"/>
      <c r="D19" s="637"/>
      <c r="E19" s="637"/>
      <c r="F19" s="637"/>
      <c r="G19" s="637"/>
      <c r="H19" s="637"/>
      <c r="I19" s="637"/>
      <c r="J19" s="637"/>
    </row>
    <row r="20" spans="1:10" x14ac:dyDescent="0.2">
      <c r="A20" s="641" t="s">
        <v>1133</v>
      </c>
      <c r="B20" s="637"/>
      <c r="C20" s="637"/>
      <c r="D20" s="637"/>
      <c r="E20" s="637"/>
      <c r="F20" s="637"/>
      <c r="G20" s="637"/>
      <c r="H20" s="637"/>
      <c r="I20" s="637"/>
      <c r="J20" s="637"/>
    </row>
    <row r="21" spans="1:10" x14ac:dyDescent="0.2">
      <c r="A21" s="641" t="s">
        <v>1134</v>
      </c>
      <c r="B21" s="637">
        <v>8464449.1500000004</v>
      </c>
      <c r="C21" s="637">
        <v>21162500</v>
      </c>
      <c r="D21" s="637">
        <v>21162500</v>
      </c>
      <c r="E21" s="637">
        <v>45840</v>
      </c>
      <c r="F21" s="637">
        <v>673437.75</v>
      </c>
      <c r="G21" s="637">
        <v>11865919.16</v>
      </c>
      <c r="H21" s="637">
        <v>11192481.41</v>
      </c>
      <c r="I21" s="637">
        <v>94.3246052756692</v>
      </c>
      <c r="J21" s="637">
        <v>21162500</v>
      </c>
    </row>
    <row r="22" spans="1:10" x14ac:dyDescent="0.2">
      <c r="A22" s="641" t="s">
        <v>1135</v>
      </c>
      <c r="B22" s="637">
        <v>4307430.5999999996</v>
      </c>
      <c r="C22" s="637">
        <v>4730000</v>
      </c>
      <c r="D22" s="637">
        <v>4730000</v>
      </c>
      <c r="E22" s="637">
        <v>143600</v>
      </c>
      <c r="F22" s="637">
        <v>832980</v>
      </c>
      <c r="G22" s="637">
        <v>4260000</v>
      </c>
      <c r="H22" s="637">
        <v>3427020</v>
      </c>
      <c r="I22" s="637">
        <v>80.4464788732394</v>
      </c>
      <c r="J22" s="637">
        <v>4730000</v>
      </c>
    </row>
    <row r="23" spans="1:10" x14ac:dyDescent="0.2">
      <c r="A23" s="641" t="s">
        <v>1122</v>
      </c>
      <c r="B23" s="637"/>
      <c r="C23" s="637"/>
      <c r="D23" s="637"/>
      <c r="E23" s="637"/>
      <c r="F23" s="637"/>
      <c r="G23" s="637"/>
      <c r="H23" s="637"/>
      <c r="I23" s="637"/>
      <c r="J23" s="637"/>
    </row>
    <row r="24" spans="1:10" x14ac:dyDescent="0.2">
      <c r="A24" s="640" t="s">
        <v>1136</v>
      </c>
      <c r="B24" s="637">
        <v>118193262.42</v>
      </c>
      <c r="C24" s="637">
        <v>112000000</v>
      </c>
      <c r="D24" s="637">
        <v>103364500</v>
      </c>
      <c r="E24" s="637">
        <v>858463.82</v>
      </c>
      <c r="F24" s="637">
        <v>114082547.22</v>
      </c>
      <c r="G24" s="637">
        <v>109170167.27</v>
      </c>
      <c r="H24" s="637">
        <v>-4912379.95</v>
      </c>
      <c r="I24" s="637">
        <v>-86.207899563405306</v>
      </c>
      <c r="J24" s="637">
        <v>103364500</v>
      </c>
    </row>
    <row r="25" spans="1:10" x14ac:dyDescent="0.2">
      <c r="A25" s="641" t="s">
        <v>1137</v>
      </c>
      <c r="B25" s="637"/>
      <c r="C25" s="637"/>
      <c r="D25" s="637"/>
      <c r="E25" s="637"/>
      <c r="F25" s="637"/>
      <c r="G25" s="637"/>
      <c r="H25" s="637"/>
      <c r="I25" s="637"/>
      <c r="J25" s="637"/>
    </row>
    <row r="26" spans="1:10" x14ac:dyDescent="0.2">
      <c r="A26" s="641" t="s">
        <v>1138</v>
      </c>
      <c r="B26" s="637"/>
      <c r="C26" s="637"/>
      <c r="D26" s="637"/>
      <c r="E26" s="637"/>
      <c r="F26" s="637"/>
      <c r="G26" s="637"/>
      <c r="H26" s="637"/>
      <c r="I26" s="637"/>
      <c r="J26" s="637"/>
    </row>
    <row r="27" spans="1:10" x14ac:dyDescent="0.2">
      <c r="A27" s="641" t="s">
        <v>1139</v>
      </c>
      <c r="B27" s="637"/>
      <c r="C27" s="637"/>
      <c r="D27" s="637"/>
      <c r="E27" s="637"/>
      <c r="F27" s="637"/>
      <c r="G27" s="637"/>
      <c r="H27" s="637"/>
      <c r="I27" s="637"/>
      <c r="J27" s="637"/>
    </row>
    <row r="28" spans="1:10" x14ac:dyDescent="0.2">
      <c r="A28" s="641" t="s">
        <v>1140</v>
      </c>
      <c r="B28" s="637"/>
      <c r="C28" s="637"/>
      <c r="D28" s="637"/>
      <c r="E28" s="637"/>
      <c r="F28" s="637"/>
      <c r="G28" s="637"/>
      <c r="H28" s="637"/>
      <c r="I28" s="637"/>
      <c r="J28" s="637"/>
    </row>
    <row r="29" spans="1:10" x14ac:dyDescent="0.2">
      <c r="A29" s="641" t="s">
        <v>1141</v>
      </c>
      <c r="B29" s="637">
        <v>-5694967.3600000003</v>
      </c>
      <c r="C29" s="637"/>
      <c r="D29" s="637"/>
      <c r="E29" s="637"/>
      <c r="F29" s="637"/>
      <c r="G29" s="637"/>
      <c r="H29" s="637"/>
      <c r="I29" s="637"/>
      <c r="J29" s="637"/>
    </row>
    <row r="30" spans="1:10" x14ac:dyDescent="0.2">
      <c r="A30" s="641" t="s">
        <v>1142</v>
      </c>
      <c r="B30" s="637"/>
      <c r="C30" s="637"/>
      <c r="D30" s="637"/>
      <c r="E30" s="637"/>
      <c r="F30" s="637"/>
      <c r="G30" s="637"/>
      <c r="H30" s="637"/>
      <c r="I30" s="637"/>
      <c r="J30" s="637"/>
    </row>
    <row r="31" spans="1:10" x14ac:dyDescent="0.2">
      <c r="A31" s="641" t="s">
        <v>1143</v>
      </c>
      <c r="B31" s="637">
        <v>122834656.62</v>
      </c>
      <c r="C31" s="637">
        <v>110000000</v>
      </c>
      <c r="D31" s="637">
        <v>101364500</v>
      </c>
      <c r="E31" s="637">
        <v>416200</v>
      </c>
      <c r="F31" s="637">
        <v>112258261.40000001</v>
      </c>
      <c r="G31" s="637">
        <v>108170167.27</v>
      </c>
      <c r="H31" s="637">
        <v>-4088094.13</v>
      </c>
      <c r="I31" s="637">
        <v>-3.7793175634053</v>
      </c>
      <c r="J31" s="637">
        <v>101364500</v>
      </c>
    </row>
    <row r="32" spans="1:10" x14ac:dyDescent="0.2">
      <c r="A32" s="641" t="s">
        <v>1144</v>
      </c>
      <c r="B32" s="637">
        <v>1053573.1599999999</v>
      </c>
      <c r="C32" s="637">
        <v>2000000</v>
      </c>
      <c r="D32" s="637">
        <v>2000000</v>
      </c>
      <c r="E32" s="637">
        <v>442263.82</v>
      </c>
      <c r="F32" s="637">
        <v>1824285.82</v>
      </c>
      <c r="G32" s="637">
        <v>1000000</v>
      </c>
      <c r="H32" s="637">
        <v>-824285.82</v>
      </c>
      <c r="I32" s="637">
        <v>-82.428582000000006</v>
      </c>
      <c r="J32" s="637">
        <v>2000000</v>
      </c>
    </row>
    <row r="33" spans="1:10" x14ac:dyDescent="0.2">
      <c r="A33" s="641" t="s">
        <v>1145</v>
      </c>
      <c r="B33" s="637"/>
      <c r="C33" s="637"/>
      <c r="D33" s="637"/>
      <c r="E33" s="637"/>
      <c r="F33" s="637"/>
      <c r="G33" s="637"/>
      <c r="H33" s="637"/>
      <c r="I33" s="637"/>
      <c r="J33" s="637"/>
    </row>
    <row r="34" spans="1:10" x14ac:dyDescent="0.2">
      <c r="A34" s="641" t="s">
        <v>1122</v>
      </c>
      <c r="B34" s="637"/>
      <c r="C34" s="637"/>
      <c r="D34" s="637"/>
      <c r="E34" s="637"/>
      <c r="F34" s="637"/>
      <c r="G34" s="637"/>
      <c r="H34" s="637"/>
      <c r="I34" s="637"/>
      <c r="J34" s="637"/>
    </row>
    <row r="35" spans="1:10" x14ac:dyDescent="0.2">
      <c r="A35" s="640" t="s">
        <v>1146</v>
      </c>
      <c r="B35" s="637">
        <v>42654910.119999997</v>
      </c>
      <c r="C35" s="637">
        <v>39000000</v>
      </c>
      <c r="D35" s="637">
        <v>35000000</v>
      </c>
      <c r="E35" s="637"/>
      <c r="F35" s="637">
        <v>34987093.93</v>
      </c>
      <c r="G35" s="637">
        <v>34590334.93</v>
      </c>
      <c r="H35" s="637">
        <v>-396759</v>
      </c>
      <c r="I35" s="637">
        <v>-1.1470227183486801</v>
      </c>
      <c r="J35" s="637">
        <v>35000000</v>
      </c>
    </row>
    <row r="36" spans="1:10" x14ac:dyDescent="0.2">
      <c r="A36" s="641" t="s">
        <v>1147</v>
      </c>
      <c r="B36" s="637">
        <v>42607737.609999999</v>
      </c>
      <c r="C36" s="637">
        <v>39000000</v>
      </c>
      <c r="D36" s="637">
        <v>35000000</v>
      </c>
      <c r="E36" s="637"/>
      <c r="F36" s="637">
        <v>34987093.93</v>
      </c>
      <c r="G36" s="637">
        <v>34590334.93</v>
      </c>
      <c r="H36" s="637">
        <v>-396759</v>
      </c>
      <c r="I36" s="637">
        <v>-1.1470227183486801</v>
      </c>
      <c r="J36" s="637">
        <v>35000000</v>
      </c>
    </row>
    <row r="37" spans="1:10" x14ac:dyDescent="0.2">
      <c r="A37" s="641" t="s">
        <v>117</v>
      </c>
      <c r="B37" s="637"/>
      <c r="C37" s="637"/>
      <c r="D37" s="637"/>
      <c r="E37" s="637"/>
      <c r="F37" s="637"/>
      <c r="G37" s="637"/>
      <c r="H37" s="637"/>
      <c r="I37" s="637"/>
      <c r="J37" s="637"/>
    </row>
    <row r="38" spans="1:10" x14ac:dyDescent="0.2">
      <c r="A38" s="641" t="s">
        <v>1148</v>
      </c>
      <c r="B38" s="637">
        <v>47172.51</v>
      </c>
      <c r="C38" s="637"/>
      <c r="D38" s="637"/>
      <c r="E38" s="637"/>
      <c r="F38" s="637"/>
      <c r="G38" s="637"/>
      <c r="H38" s="637"/>
      <c r="I38" s="637"/>
      <c r="J38" s="637"/>
    </row>
    <row r="39" spans="1:10" x14ac:dyDescent="0.2">
      <c r="A39" s="641" t="s">
        <v>1149</v>
      </c>
      <c r="B39" s="637"/>
      <c r="C39" s="637"/>
      <c r="D39" s="637"/>
      <c r="E39" s="637"/>
      <c r="F39" s="637"/>
      <c r="G39" s="637"/>
      <c r="H39" s="637"/>
      <c r="I39" s="637"/>
      <c r="J39" s="637"/>
    </row>
    <row r="40" spans="1:10" x14ac:dyDescent="0.2">
      <c r="A40" s="641" t="s">
        <v>1150</v>
      </c>
      <c r="B40" s="637"/>
      <c r="C40" s="637"/>
      <c r="D40" s="637"/>
      <c r="E40" s="637"/>
      <c r="F40" s="637"/>
      <c r="G40" s="637"/>
      <c r="H40" s="637"/>
      <c r="I40" s="637"/>
      <c r="J40" s="637"/>
    </row>
    <row r="41" spans="1:10" x14ac:dyDescent="0.2">
      <c r="A41" s="641" t="s">
        <v>1122</v>
      </c>
      <c r="B41" s="637"/>
      <c r="C41" s="637"/>
      <c r="D41" s="637"/>
      <c r="E41" s="637"/>
      <c r="F41" s="637"/>
      <c r="G41" s="637"/>
      <c r="H41" s="637"/>
      <c r="I41" s="637"/>
      <c r="J41" s="637"/>
    </row>
    <row r="42" spans="1:10" x14ac:dyDescent="0.2">
      <c r="A42" s="640" t="s">
        <v>1151</v>
      </c>
      <c r="B42" s="637"/>
      <c r="C42" s="637"/>
      <c r="D42" s="637"/>
      <c r="E42" s="637"/>
      <c r="F42" s="637"/>
      <c r="G42" s="637"/>
      <c r="H42" s="637"/>
      <c r="I42" s="637"/>
      <c r="J42" s="637"/>
    </row>
    <row r="43" spans="1:10" x14ac:dyDescent="0.2">
      <c r="A43" s="641" t="s">
        <v>1152</v>
      </c>
      <c r="B43" s="637"/>
      <c r="C43" s="637"/>
      <c r="D43" s="637"/>
      <c r="E43" s="637"/>
      <c r="F43" s="637"/>
      <c r="G43" s="637"/>
      <c r="H43" s="637"/>
      <c r="I43" s="637"/>
      <c r="J43" s="637"/>
    </row>
    <row r="44" spans="1:10" x14ac:dyDescent="0.2">
      <c r="A44" s="641" t="s">
        <v>1153</v>
      </c>
      <c r="B44" s="637"/>
      <c r="C44" s="637"/>
      <c r="D44" s="637"/>
      <c r="E44" s="637"/>
      <c r="F44" s="637"/>
      <c r="G44" s="637"/>
      <c r="H44" s="637"/>
      <c r="I44" s="637"/>
      <c r="J44" s="637"/>
    </row>
    <row r="45" spans="1:10" x14ac:dyDescent="0.2">
      <c r="A45" s="641" t="s">
        <v>1154</v>
      </c>
      <c r="B45" s="637"/>
      <c r="C45" s="637"/>
      <c r="D45" s="637"/>
      <c r="E45" s="637"/>
      <c r="F45" s="637"/>
      <c r="G45" s="637"/>
      <c r="H45" s="637"/>
      <c r="I45" s="637"/>
      <c r="J45" s="637"/>
    </row>
    <row r="46" spans="1:10" x14ac:dyDescent="0.2">
      <c r="A46" s="641" t="s">
        <v>1155</v>
      </c>
      <c r="B46" s="637"/>
      <c r="C46" s="637"/>
      <c r="D46" s="637"/>
      <c r="E46" s="637"/>
      <c r="F46" s="637"/>
      <c r="G46" s="637"/>
      <c r="H46" s="637"/>
      <c r="I46" s="637"/>
      <c r="J46" s="637"/>
    </row>
    <row r="47" spans="1:10" x14ac:dyDescent="0.2">
      <c r="A47" s="641" t="s">
        <v>1156</v>
      </c>
      <c r="B47" s="637"/>
      <c r="C47" s="637"/>
      <c r="D47" s="637"/>
      <c r="E47" s="637"/>
      <c r="F47" s="637"/>
      <c r="G47" s="637"/>
      <c r="H47" s="637"/>
      <c r="I47" s="637"/>
      <c r="J47" s="637"/>
    </row>
    <row r="48" spans="1:10" x14ac:dyDescent="0.2">
      <c r="A48" s="641" t="s">
        <v>1157</v>
      </c>
      <c r="B48" s="637"/>
      <c r="C48" s="637"/>
      <c r="D48" s="637"/>
      <c r="E48" s="637"/>
      <c r="F48" s="637"/>
      <c r="G48" s="637"/>
      <c r="H48" s="637"/>
      <c r="I48" s="637"/>
      <c r="J48" s="637"/>
    </row>
    <row r="49" spans="1:10" x14ac:dyDescent="0.2">
      <c r="A49" s="641" t="s">
        <v>1122</v>
      </c>
      <c r="B49" s="637"/>
      <c r="C49" s="637"/>
      <c r="D49" s="637"/>
      <c r="E49" s="637"/>
      <c r="F49" s="637"/>
      <c r="G49" s="637"/>
      <c r="H49" s="637"/>
      <c r="I49" s="637"/>
      <c r="J49" s="637"/>
    </row>
    <row r="50" spans="1:10" x14ac:dyDescent="0.2">
      <c r="A50" s="640" t="s">
        <v>1158</v>
      </c>
      <c r="B50" s="637"/>
      <c r="C50" s="637"/>
      <c r="D50" s="637"/>
      <c r="E50" s="637"/>
      <c r="F50" s="637"/>
      <c r="G50" s="637"/>
      <c r="H50" s="637"/>
      <c r="I50" s="637"/>
      <c r="J50" s="637"/>
    </row>
    <row r="51" spans="1:10" x14ac:dyDescent="0.2">
      <c r="A51" s="641" t="s">
        <v>1159</v>
      </c>
      <c r="B51" s="637"/>
      <c r="C51" s="637"/>
      <c r="D51" s="637"/>
      <c r="E51" s="637"/>
      <c r="F51" s="637"/>
      <c r="G51" s="637"/>
      <c r="H51" s="637"/>
      <c r="I51" s="637"/>
      <c r="J51" s="637"/>
    </row>
    <row r="52" spans="1:10" x14ac:dyDescent="0.2">
      <c r="A52" s="641" t="s">
        <v>1160</v>
      </c>
      <c r="B52" s="637"/>
      <c r="C52" s="637"/>
      <c r="D52" s="637"/>
      <c r="E52" s="637"/>
      <c r="F52" s="637"/>
      <c r="G52" s="637"/>
      <c r="H52" s="637"/>
      <c r="I52" s="637"/>
      <c r="J52" s="637"/>
    </row>
    <row r="53" spans="1:10" x14ac:dyDescent="0.2">
      <c r="A53" s="641" t="s">
        <v>1161</v>
      </c>
      <c r="B53" s="637"/>
      <c r="C53" s="637"/>
      <c r="D53" s="637"/>
      <c r="E53" s="637"/>
      <c r="F53" s="637"/>
      <c r="G53" s="637"/>
      <c r="H53" s="637"/>
      <c r="I53" s="637"/>
      <c r="J53" s="637"/>
    </row>
    <row r="54" spans="1:10" x14ac:dyDescent="0.2">
      <c r="A54" s="641" t="s">
        <v>1124</v>
      </c>
      <c r="B54" s="637"/>
      <c r="C54" s="637"/>
      <c r="D54" s="637"/>
      <c r="E54" s="637"/>
      <c r="F54" s="637"/>
      <c r="G54" s="637"/>
      <c r="H54" s="637"/>
      <c r="I54" s="637"/>
      <c r="J54" s="637"/>
    </row>
    <row r="55" spans="1:10" x14ac:dyDescent="0.2">
      <c r="A55" s="641" t="s">
        <v>1125</v>
      </c>
      <c r="B55" s="637"/>
      <c r="C55" s="637"/>
      <c r="D55" s="637"/>
      <c r="E55" s="637"/>
      <c r="F55" s="637"/>
      <c r="G55" s="637"/>
      <c r="H55" s="637"/>
      <c r="I55" s="637"/>
      <c r="J55" s="637"/>
    </row>
    <row r="56" spans="1:10" x14ac:dyDescent="0.2">
      <c r="A56" s="641" t="s">
        <v>1126</v>
      </c>
      <c r="B56" s="637"/>
      <c r="C56" s="637"/>
      <c r="D56" s="637"/>
      <c r="E56" s="637"/>
      <c r="F56" s="637"/>
      <c r="G56" s="637"/>
      <c r="H56" s="637"/>
      <c r="I56" s="637"/>
      <c r="J56" s="637"/>
    </row>
    <row r="57" spans="1:10" x14ac:dyDescent="0.2">
      <c r="A57" s="641" t="s">
        <v>1132</v>
      </c>
      <c r="B57" s="637"/>
      <c r="C57" s="637"/>
      <c r="D57" s="637"/>
      <c r="E57" s="637"/>
      <c r="F57" s="637"/>
      <c r="G57" s="637"/>
      <c r="H57" s="637"/>
      <c r="I57" s="637"/>
      <c r="J57" s="637"/>
    </row>
    <row r="58" spans="1:10" x14ac:dyDescent="0.2">
      <c r="A58" s="641" t="s">
        <v>1135</v>
      </c>
      <c r="B58" s="637"/>
      <c r="C58" s="637"/>
      <c r="D58" s="637"/>
      <c r="E58" s="637"/>
      <c r="F58" s="637"/>
      <c r="G58" s="637"/>
      <c r="H58" s="637"/>
      <c r="I58" s="637"/>
      <c r="J58" s="637"/>
    </row>
    <row r="59" spans="1:10" x14ac:dyDescent="0.2">
      <c r="A59" s="641" t="s">
        <v>1122</v>
      </c>
      <c r="B59" s="637"/>
      <c r="C59" s="637"/>
      <c r="D59" s="637"/>
      <c r="E59" s="637"/>
      <c r="F59" s="637"/>
      <c r="G59" s="637"/>
      <c r="H59" s="637"/>
      <c r="I59" s="637"/>
      <c r="J59" s="637"/>
    </row>
    <row r="60" spans="1:10" x14ac:dyDescent="0.2">
      <c r="A60" s="640" t="s">
        <v>1162</v>
      </c>
      <c r="B60" s="637">
        <v>626460.18000000005</v>
      </c>
      <c r="C60" s="637"/>
      <c r="D60" s="637"/>
      <c r="E60" s="637"/>
      <c r="F60" s="637">
        <v>0</v>
      </c>
      <c r="G60" s="637"/>
      <c r="H60" s="637">
        <v>0</v>
      </c>
      <c r="I60" s="637">
        <v>0</v>
      </c>
      <c r="J60" s="637"/>
    </row>
    <row r="61" spans="1:10" x14ac:dyDescent="0.2">
      <c r="A61" s="641" t="s">
        <v>1163</v>
      </c>
      <c r="B61" s="637"/>
      <c r="C61" s="637"/>
      <c r="D61" s="637"/>
      <c r="E61" s="637"/>
      <c r="F61" s="637"/>
      <c r="G61" s="637"/>
      <c r="H61" s="637"/>
      <c r="I61" s="637"/>
      <c r="J61" s="637"/>
    </row>
    <row r="62" spans="1:10" x14ac:dyDescent="0.2">
      <c r="A62" s="641" t="s">
        <v>1164</v>
      </c>
      <c r="B62" s="637">
        <v>626460.18000000005</v>
      </c>
      <c r="C62" s="637"/>
      <c r="D62" s="637"/>
      <c r="E62" s="637"/>
      <c r="F62" s="637">
        <v>0</v>
      </c>
      <c r="G62" s="637"/>
      <c r="H62" s="637">
        <v>0</v>
      </c>
      <c r="I62" s="637">
        <v>0</v>
      </c>
      <c r="J62" s="637"/>
    </row>
    <row r="63" spans="1:10" x14ac:dyDescent="0.2">
      <c r="A63" s="641" t="s">
        <v>1165</v>
      </c>
      <c r="B63" s="637"/>
      <c r="C63" s="637"/>
      <c r="D63" s="637"/>
      <c r="E63" s="637"/>
      <c r="F63" s="637"/>
      <c r="G63" s="637"/>
      <c r="H63" s="637"/>
      <c r="I63" s="637"/>
      <c r="J63" s="637"/>
    </row>
    <row r="64" spans="1:10" x14ac:dyDescent="0.2">
      <c r="A64" s="641" t="s">
        <v>1166</v>
      </c>
      <c r="B64" s="637"/>
      <c r="C64" s="637"/>
      <c r="D64" s="637"/>
      <c r="E64" s="637"/>
      <c r="F64" s="637"/>
      <c r="G64" s="637"/>
      <c r="H64" s="637"/>
      <c r="I64" s="637"/>
      <c r="J64" s="637"/>
    </row>
    <row r="65" spans="1:10" x14ac:dyDescent="0.2">
      <c r="A65" s="641" t="s">
        <v>1122</v>
      </c>
      <c r="B65" s="637"/>
      <c r="C65" s="637"/>
      <c r="D65" s="637"/>
      <c r="E65" s="637"/>
      <c r="F65" s="637"/>
      <c r="G65" s="637"/>
      <c r="H65" s="637"/>
      <c r="I65" s="637"/>
      <c r="J65" s="637"/>
    </row>
    <row r="66" spans="1:10" x14ac:dyDescent="0.2">
      <c r="A66" s="640" t="s">
        <v>1167</v>
      </c>
      <c r="B66" s="637"/>
      <c r="C66" s="637"/>
      <c r="D66" s="637"/>
      <c r="E66" s="637"/>
      <c r="F66" s="637">
        <v>879203</v>
      </c>
      <c r="G66" s="637"/>
      <c r="H66" s="637">
        <v>-879203</v>
      </c>
      <c r="I66" s="637">
        <v>0</v>
      </c>
      <c r="J66" s="637"/>
    </row>
    <row r="67" spans="1:10" x14ac:dyDescent="0.2">
      <c r="A67" s="641" t="s">
        <v>1168</v>
      </c>
      <c r="B67" s="637"/>
      <c r="C67" s="637"/>
      <c r="D67" s="637"/>
      <c r="E67" s="637"/>
      <c r="F67" s="637">
        <v>879203</v>
      </c>
      <c r="G67" s="637"/>
      <c r="H67" s="637">
        <v>-879203</v>
      </c>
      <c r="I67" s="637">
        <v>0</v>
      </c>
      <c r="J67" s="637"/>
    </row>
    <row r="68" spans="1:10" x14ac:dyDescent="0.2">
      <c r="A68" s="641" t="s">
        <v>1169</v>
      </c>
      <c r="B68" s="637"/>
      <c r="C68" s="637"/>
      <c r="D68" s="637"/>
      <c r="E68" s="637"/>
      <c r="F68" s="637"/>
      <c r="G68" s="637"/>
      <c r="H68" s="637"/>
      <c r="I68" s="637"/>
      <c r="J68" s="637"/>
    </row>
    <row r="69" spans="1:10" x14ac:dyDescent="0.2">
      <c r="A69" s="641" t="s">
        <v>1170</v>
      </c>
      <c r="B69" s="637"/>
      <c r="C69" s="637"/>
      <c r="D69" s="637"/>
      <c r="E69" s="637"/>
      <c r="F69" s="637"/>
      <c r="G69" s="637"/>
      <c r="H69" s="637"/>
      <c r="I69" s="637"/>
      <c r="J69" s="637"/>
    </row>
    <row r="70" spans="1:10" x14ac:dyDescent="0.2">
      <c r="A70" s="641" t="s">
        <v>1122</v>
      </c>
      <c r="B70" s="637"/>
      <c r="C70" s="637"/>
      <c r="D70" s="637"/>
      <c r="E70" s="637"/>
      <c r="F70" s="637"/>
      <c r="G70" s="637"/>
      <c r="H70" s="637"/>
      <c r="I70" s="637"/>
      <c r="J70" s="637"/>
    </row>
    <row r="71" spans="1:10" x14ac:dyDescent="0.2">
      <c r="A71" s="639" t="s">
        <v>1191</v>
      </c>
      <c r="B71" s="637">
        <v>12352766.77</v>
      </c>
      <c r="C71" s="637">
        <v>2650000</v>
      </c>
      <c r="D71" s="637">
        <v>14450000</v>
      </c>
      <c r="E71" s="637">
        <v>16197513.48</v>
      </c>
      <c r="F71" s="637">
        <v>28105128.809999999</v>
      </c>
      <c r="G71" s="637">
        <v>13000000</v>
      </c>
      <c r="H71" s="637">
        <v>-15105128.810000001</v>
      </c>
      <c r="I71" s="637">
        <v>-18.630303203124999</v>
      </c>
      <c r="J71" s="637">
        <v>14450000</v>
      </c>
    </row>
    <row r="72" spans="1:10" x14ac:dyDescent="0.2">
      <c r="A72" s="640" t="s">
        <v>1171</v>
      </c>
      <c r="B72" s="637">
        <v>65167.58</v>
      </c>
      <c r="C72" s="637">
        <v>400000</v>
      </c>
      <c r="D72" s="637">
        <v>400000</v>
      </c>
      <c r="E72" s="637"/>
      <c r="F72" s="637">
        <v>120450</v>
      </c>
      <c r="G72" s="637">
        <v>200000</v>
      </c>
      <c r="H72" s="637">
        <v>79550</v>
      </c>
      <c r="I72" s="637">
        <v>100</v>
      </c>
      <c r="J72" s="637">
        <v>400000</v>
      </c>
    </row>
    <row r="73" spans="1:10" x14ac:dyDescent="0.2">
      <c r="A73" s="641" t="s">
        <v>1172</v>
      </c>
      <c r="B73" s="637">
        <v>22667.58</v>
      </c>
      <c r="C73" s="637"/>
      <c r="D73" s="637"/>
      <c r="E73" s="637"/>
      <c r="F73" s="637"/>
      <c r="G73" s="637"/>
      <c r="H73" s="637"/>
      <c r="I73" s="637"/>
      <c r="J73" s="637"/>
    </row>
    <row r="74" spans="1:10" x14ac:dyDescent="0.2">
      <c r="A74" s="641" t="s">
        <v>1173</v>
      </c>
      <c r="B74" s="637"/>
      <c r="C74" s="637"/>
      <c r="D74" s="637"/>
      <c r="E74" s="637"/>
      <c r="F74" s="637"/>
      <c r="G74" s="637"/>
      <c r="H74" s="637"/>
      <c r="I74" s="637"/>
      <c r="J74" s="637"/>
    </row>
    <row r="75" spans="1:10" x14ac:dyDescent="0.2">
      <c r="A75" s="641" t="s">
        <v>1174</v>
      </c>
      <c r="B75" s="637"/>
      <c r="C75" s="637"/>
      <c r="D75" s="637"/>
      <c r="E75" s="637"/>
      <c r="F75" s="637"/>
      <c r="G75" s="637"/>
      <c r="H75" s="637"/>
      <c r="I75" s="637"/>
      <c r="J75" s="637"/>
    </row>
    <row r="76" spans="1:10" x14ac:dyDescent="0.2">
      <c r="A76" s="641" t="s">
        <v>1175</v>
      </c>
      <c r="B76" s="637"/>
      <c r="C76" s="637"/>
      <c r="D76" s="637"/>
      <c r="E76" s="637"/>
      <c r="F76" s="637"/>
      <c r="G76" s="637"/>
      <c r="H76" s="637"/>
      <c r="I76" s="637"/>
      <c r="J76" s="637"/>
    </row>
    <row r="77" spans="1:10" x14ac:dyDescent="0.2">
      <c r="A77" s="641" t="s">
        <v>1176</v>
      </c>
      <c r="B77" s="637"/>
      <c r="C77" s="637"/>
      <c r="D77" s="637"/>
      <c r="E77" s="637"/>
      <c r="F77" s="637"/>
      <c r="G77" s="637"/>
      <c r="H77" s="637"/>
      <c r="I77" s="637"/>
      <c r="J77" s="637"/>
    </row>
    <row r="78" spans="1:10" x14ac:dyDescent="0.2">
      <c r="A78" s="641" t="s">
        <v>1177</v>
      </c>
      <c r="B78" s="637"/>
      <c r="C78" s="637"/>
      <c r="D78" s="637"/>
      <c r="E78" s="637"/>
      <c r="F78" s="637"/>
      <c r="G78" s="637"/>
      <c r="H78" s="637"/>
      <c r="I78" s="637"/>
      <c r="J78" s="637"/>
    </row>
    <row r="79" spans="1:10" x14ac:dyDescent="0.2">
      <c r="A79" s="641" t="s">
        <v>1178</v>
      </c>
      <c r="B79" s="637"/>
      <c r="C79" s="637"/>
      <c r="D79" s="637"/>
      <c r="E79" s="637"/>
      <c r="F79" s="637"/>
      <c r="G79" s="637"/>
      <c r="H79" s="637"/>
      <c r="I79" s="637"/>
      <c r="J79" s="637"/>
    </row>
    <row r="80" spans="1:10" x14ac:dyDescent="0.2">
      <c r="A80" s="641" t="s">
        <v>1179</v>
      </c>
      <c r="B80" s="637"/>
      <c r="C80" s="637"/>
      <c r="D80" s="637"/>
      <c r="E80" s="637"/>
      <c r="F80" s="637"/>
      <c r="G80" s="637"/>
      <c r="H80" s="637"/>
      <c r="I80" s="637"/>
      <c r="J80" s="637"/>
    </row>
    <row r="81" spans="1:10" x14ac:dyDescent="0.2">
      <c r="A81" s="641" t="s">
        <v>1055</v>
      </c>
      <c r="B81" s="637"/>
      <c r="C81" s="637"/>
      <c r="D81" s="637"/>
      <c r="E81" s="637"/>
      <c r="F81" s="637"/>
      <c r="G81" s="637"/>
      <c r="H81" s="637"/>
      <c r="I81" s="637"/>
      <c r="J81" s="637"/>
    </row>
    <row r="82" spans="1:10" x14ac:dyDescent="0.2">
      <c r="A82" s="641" t="s">
        <v>508</v>
      </c>
      <c r="B82" s="637">
        <v>0</v>
      </c>
      <c r="C82" s="637"/>
      <c r="D82" s="637"/>
      <c r="E82" s="637"/>
      <c r="F82" s="637">
        <v>120450</v>
      </c>
      <c r="G82" s="637"/>
      <c r="H82" s="637">
        <v>-120450</v>
      </c>
      <c r="I82" s="637">
        <v>0</v>
      </c>
      <c r="J82" s="637"/>
    </row>
    <row r="83" spans="1:10" x14ac:dyDescent="0.2">
      <c r="A83" s="641" t="s">
        <v>1180</v>
      </c>
      <c r="B83" s="637">
        <v>42500</v>
      </c>
      <c r="C83" s="637">
        <v>400000</v>
      </c>
      <c r="D83" s="637">
        <v>400000</v>
      </c>
      <c r="E83" s="637"/>
      <c r="F83" s="637"/>
      <c r="G83" s="637">
        <v>200000</v>
      </c>
      <c r="H83" s="637">
        <v>200000</v>
      </c>
      <c r="I83" s="637">
        <v>100</v>
      </c>
      <c r="J83" s="637">
        <v>400000</v>
      </c>
    </row>
    <row r="84" spans="1:10" x14ac:dyDescent="0.2">
      <c r="A84" s="641" t="s">
        <v>148</v>
      </c>
      <c r="B84" s="637"/>
      <c r="C84" s="637"/>
      <c r="D84" s="637"/>
      <c r="E84" s="637"/>
      <c r="F84" s="637"/>
      <c r="G84" s="637"/>
      <c r="H84" s="637"/>
      <c r="I84" s="637"/>
      <c r="J84" s="637"/>
    </row>
    <row r="85" spans="1:10" x14ac:dyDescent="0.2">
      <c r="A85" s="641" t="s">
        <v>1181</v>
      </c>
      <c r="B85" s="637"/>
      <c r="C85" s="637"/>
      <c r="D85" s="637"/>
      <c r="E85" s="637"/>
      <c r="F85" s="637"/>
      <c r="G85" s="637"/>
      <c r="H85" s="637"/>
      <c r="I85" s="637"/>
      <c r="J85" s="637"/>
    </row>
    <row r="86" spans="1:10" x14ac:dyDescent="0.2">
      <c r="A86" s="641" t="s">
        <v>1182</v>
      </c>
      <c r="B86" s="637"/>
      <c r="C86" s="637"/>
      <c r="D86" s="637"/>
      <c r="E86" s="637"/>
      <c r="F86" s="637"/>
      <c r="G86" s="637"/>
      <c r="H86" s="637"/>
      <c r="I86" s="637"/>
      <c r="J86" s="637"/>
    </row>
    <row r="87" spans="1:10" x14ac:dyDescent="0.2">
      <c r="A87" s="641" t="s">
        <v>1183</v>
      </c>
      <c r="B87" s="637"/>
      <c r="C87" s="637"/>
      <c r="D87" s="637"/>
      <c r="E87" s="637"/>
      <c r="F87" s="637"/>
      <c r="G87" s="637"/>
      <c r="H87" s="637"/>
      <c r="I87" s="637"/>
      <c r="J87" s="637"/>
    </row>
    <row r="88" spans="1:10" x14ac:dyDescent="0.2">
      <c r="A88" s="641" t="s">
        <v>1184</v>
      </c>
      <c r="B88" s="637"/>
      <c r="C88" s="637"/>
      <c r="D88" s="637"/>
      <c r="E88" s="637"/>
      <c r="F88" s="637"/>
      <c r="G88" s="637"/>
      <c r="H88" s="637"/>
      <c r="I88" s="637"/>
      <c r="J88" s="637"/>
    </row>
    <row r="89" spans="1:10" x14ac:dyDescent="0.2">
      <c r="A89" s="641" t="s">
        <v>402</v>
      </c>
      <c r="B89" s="637"/>
      <c r="C89" s="637"/>
      <c r="D89" s="637"/>
      <c r="E89" s="637"/>
      <c r="F89" s="637"/>
      <c r="G89" s="637"/>
      <c r="H89" s="637"/>
      <c r="I89" s="637"/>
      <c r="J89" s="637"/>
    </row>
    <row r="90" spans="1:10" x14ac:dyDescent="0.2">
      <c r="A90" s="641" t="s">
        <v>1185</v>
      </c>
      <c r="B90" s="637"/>
      <c r="C90" s="637"/>
      <c r="D90" s="637"/>
      <c r="E90" s="637"/>
      <c r="F90" s="637"/>
      <c r="G90" s="637"/>
      <c r="H90" s="637"/>
      <c r="I90" s="637"/>
      <c r="J90" s="637"/>
    </row>
    <row r="91" spans="1:10" x14ac:dyDescent="0.2">
      <c r="A91" s="641" t="s">
        <v>401</v>
      </c>
      <c r="B91" s="637"/>
      <c r="C91" s="637"/>
      <c r="D91" s="637"/>
      <c r="E91" s="637"/>
      <c r="F91" s="637"/>
      <c r="G91" s="637"/>
      <c r="H91" s="637"/>
      <c r="I91" s="637"/>
      <c r="J91" s="637"/>
    </row>
    <row r="92" spans="1:10" x14ac:dyDescent="0.2">
      <c r="A92" s="641" t="s">
        <v>1186</v>
      </c>
      <c r="B92" s="637"/>
      <c r="C92" s="637"/>
      <c r="D92" s="637"/>
      <c r="E92" s="637"/>
      <c r="F92" s="637"/>
      <c r="G92" s="637"/>
      <c r="H92" s="637"/>
      <c r="I92" s="637"/>
      <c r="J92" s="637"/>
    </row>
    <row r="93" spans="1:10" x14ac:dyDescent="0.2">
      <c r="A93" s="641" t="s">
        <v>1187</v>
      </c>
      <c r="B93" s="637"/>
      <c r="C93" s="637"/>
      <c r="D93" s="637"/>
      <c r="E93" s="637"/>
      <c r="F93" s="637"/>
      <c r="G93" s="637"/>
      <c r="H93" s="637"/>
      <c r="I93" s="637"/>
      <c r="J93" s="637"/>
    </row>
    <row r="94" spans="1:10" x14ac:dyDescent="0.2">
      <c r="A94" s="641" t="s">
        <v>1122</v>
      </c>
      <c r="B94" s="637"/>
      <c r="C94" s="637"/>
      <c r="D94" s="637"/>
      <c r="E94" s="637"/>
      <c r="F94" s="637"/>
      <c r="G94" s="637"/>
      <c r="H94" s="637"/>
      <c r="I94" s="637"/>
      <c r="J94" s="637"/>
    </row>
    <row r="95" spans="1:10" x14ac:dyDescent="0.2">
      <c r="A95" s="640" t="s">
        <v>1188</v>
      </c>
      <c r="B95" s="637">
        <v>12287599.189999999</v>
      </c>
      <c r="C95" s="637">
        <v>2250000</v>
      </c>
      <c r="D95" s="637">
        <v>14050000</v>
      </c>
      <c r="E95" s="637">
        <v>16197513.48</v>
      </c>
      <c r="F95" s="637">
        <v>27984678.809999999</v>
      </c>
      <c r="G95" s="637">
        <v>12800000</v>
      </c>
      <c r="H95" s="637">
        <v>-15184678.810000001</v>
      </c>
      <c r="I95" s="637">
        <v>-118.630303203125</v>
      </c>
      <c r="J95" s="637">
        <v>14050000</v>
      </c>
    </row>
    <row r="96" spans="1:10" x14ac:dyDescent="0.2">
      <c r="A96" s="641" t="s">
        <v>1189</v>
      </c>
      <c r="B96" s="637"/>
      <c r="C96" s="637"/>
      <c r="D96" s="637"/>
      <c r="E96" s="637"/>
      <c r="F96" s="637"/>
      <c r="G96" s="637"/>
      <c r="H96" s="637"/>
      <c r="I96" s="637"/>
      <c r="J96" s="637"/>
    </row>
    <row r="97" spans="1:10" x14ac:dyDescent="0.2">
      <c r="A97" s="641" t="s">
        <v>1190</v>
      </c>
      <c r="B97" s="637">
        <v>12287599.189999999</v>
      </c>
      <c r="C97" s="637">
        <v>2250000</v>
      </c>
      <c r="D97" s="637">
        <v>14050000</v>
      </c>
      <c r="E97" s="637">
        <v>16197513.48</v>
      </c>
      <c r="F97" s="637">
        <v>27984678.809999999</v>
      </c>
      <c r="G97" s="637">
        <v>12800000</v>
      </c>
      <c r="H97" s="637">
        <v>-15184678.810000001</v>
      </c>
      <c r="I97" s="637">
        <v>-118.630303203125</v>
      </c>
      <c r="J97" s="637">
        <v>14050000</v>
      </c>
    </row>
    <row r="98" spans="1:10" x14ac:dyDescent="0.2">
      <c r="A98" s="641" t="s">
        <v>1122</v>
      </c>
      <c r="B98" s="637"/>
      <c r="C98" s="637"/>
      <c r="D98" s="637"/>
      <c r="E98" s="637"/>
      <c r="F98" s="637"/>
      <c r="G98" s="637"/>
      <c r="H98" s="637"/>
      <c r="I98" s="637"/>
      <c r="J98" s="637"/>
    </row>
    <row r="99" spans="1:10" x14ac:dyDescent="0.2">
      <c r="A99" s="639" t="s">
        <v>618</v>
      </c>
      <c r="B99" s="637"/>
      <c r="C99" s="637"/>
      <c r="D99" s="637"/>
      <c r="E99" s="637"/>
      <c r="F99" s="637"/>
      <c r="G99" s="637"/>
      <c r="H99" s="637"/>
      <c r="I99" s="637"/>
      <c r="J99" s="637"/>
    </row>
    <row r="100" spans="1:10" x14ac:dyDescent="0.2">
      <c r="A100" s="640" t="s">
        <v>1192</v>
      </c>
      <c r="B100" s="637"/>
      <c r="C100" s="637"/>
      <c r="D100" s="637"/>
      <c r="E100" s="637"/>
      <c r="F100" s="637"/>
      <c r="G100" s="637"/>
      <c r="H100" s="637"/>
      <c r="I100" s="637"/>
      <c r="J100" s="637"/>
    </row>
    <row r="101" spans="1:10" x14ac:dyDescent="0.2">
      <c r="A101" s="641" t="s">
        <v>1192</v>
      </c>
      <c r="B101" s="637"/>
      <c r="C101" s="637"/>
      <c r="D101" s="637"/>
      <c r="E101" s="637"/>
      <c r="F101" s="637"/>
      <c r="G101" s="637"/>
      <c r="H101" s="637"/>
      <c r="I101" s="637"/>
      <c r="J101" s="637"/>
    </row>
    <row r="102" spans="1:10" x14ac:dyDescent="0.2">
      <c r="A102" s="640" t="s">
        <v>1193</v>
      </c>
      <c r="B102" s="637"/>
      <c r="C102" s="637"/>
      <c r="D102" s="637"/>
      <c r="E102" s="637"/>
      <c r="F102" s="637"/>
      <c r="G102" s="637"/>
      <c r="H102" s="637"/>
      <c r="I102" s="637"/>
      <c r="J102" s="637"/>
    </row>
    <row r="103" spans="1:10" x14ac:dyDescent="0.2">
      <c r="A103" s="641" t="s">
        <v>1193</v>
      </c>
      <c r="B103" s="637"/>
      <c r="C103" s="637"/>
      <c r="D103" s="637"/>
      <c r="E103" s="637"/>
      <c r="F103" s="637"/>
      <c r="G103" s="637"/>
      <c r="H103" s="637"/>
      <c r="I103" s="637"/>
      <c r="J103" s="637"/>
    </row>
    <row r="104" spans="1:10" x14ac:dyDescent="0.2">
      <c r="A104" s="640" t="s">
        <v>1194</v>
      </c>
      <c r="B104" s="637"/>
      <c r="C104" s="637"/>
      <c r="D104" s="637"/>
      <c r="E104" s="637"/>
      <c r="F104" s="637"/>
      <c r="G104" s="637"/>
      <c r="H104" s="637"/>
      <c r="I104" s="637"/>
      <c r="J104" s="637"/>
    </row>
    <row r="105" spans="1:10" x14ac:dyDescent="0.2">
      <c r="A105" s="641" t="s">
        <v>1194</v>
      </c>
      <c r="B105" s="637"/>
      <c r="C105" s="637"/>
      <c r="D105" s="637"/>
      <c r="E105" s="637"/>
      <c r="F105" s="637"/>
      <c r="G105" s="637"/>
      <c r="H105" s="637"/>
      <c r="I105" s="637"/>
      <c r="J105" s="637"/>
    </row>
    <row r="106" spans="1:10" x14ac:dyDescent="0.2">
      <c r="A106" s="640" t="s">
        <v>1195</v>
      </c>
      <c r="B106" s="637"/>
      <c r="C106" s="637"/>
      <c r="D106" s="637"/>
      <c r="E106" s="637"/>
      <c r="F106" s="637"/>
      <c r="G106" s="637"/>
      <c r="H106" s="637"/>
      <c r="I106" s="637"/>
      <c r="J106" s="637"/>
    </row>
    <row r="107" spans="1:10" x14ac:dyDescent="0.2">
      <c r="A107" s="641" t="s">
        <v>1195</v>
      </c>
      <c r="B107" s="637"/>
      <c r="C107" s="637"/>
      <c r="D107" s="637"/>
      <c r="E107" s="637"/>
      <c r="F107" s="637"/>
      <c r="G107" s="637"/>
      <c r="H107" s="637"/>
      <c r="I107" s="637"/>
      <c r="J107" s="637"/>
    </row>
    <row r="108" spans="1:10" x14ac:dyDescent="0.2">
      <c r="A108" s="640" t="s">
        <v>1196</v>
      </c>
      <c r="B108" s="637"/>
      <c r="C108" s="637"/>
      <c r="D108" s="637"/>
      <c r="E108" s="637"/>
      <c r="F108" s="637"/>
      <c r="G108" s="637"/>
      <c r="H108" s="637"/>
      <c r="I108" s="637"/>
      <c r="J108" s="637"/>
    </row>
    <row r="109" spans="1:10" x14ac:dyDescent="0.2">
      <c r="A109" s="641" t="s">
        <v>1196</v>
      </c>
      <c r="B109" s="637"/>
      <c r="C109" s="637"/>
      <c r="D109" s="637"/>
      <c r="E109" s="637"/>
      <c r="F109" s="637"/>
      <c r="G109" s="637"/>
      <c r="H109" s="637"/>
      <c r="I109" s="637"/>
      <c r="J109" s="637"/>
    </row>
    <row r="110" spans="1:10" x14ac:dyDescent="0.2">
      <c r="A110" s="639" t="s">
        <v>619</v>
      </c>
      <c r="B110" s="637">
        <v>883595.37</v>
      </c>
      <c r="C110" s="637"/>
      <c r="D110" s="637"/>
      <c r="E110" s="637"/>
      <c r="F110" s="637"/>
      <c r="G110" s="637"/>
      <c r="H110" s="637"/>
      <c r="I110" s="637"/>
      <c r="J110" s="637"/>
    </row>
    <row r="111" spans="1:10" x14ac:dyDescent="0.2">
      <c r="A111" s="640" t="s">
        <v>1197</v>
      </c>
      <c r="B111" s="637"/>
      <c r="C111" s="637"/>
      <c r="D111" s="637"/>
      <c r="E111" s="637"/>
      <c r="F111" s="637"/>
      <c r="G111" s="637"/>
      <c r="H111" s="637"/>
      <c r="I111" s="637"/>
      <c r="J111" s="637"/>
    </row>
    <row r="112" spans="1:10" x14ac:dyDescent="0.2">
      <c r="A112" s="641" t="s">
        <v>1198</v>
      </c>
      <c r="B112" s="637"/>
      <c r="C112" s="637"/>
      <c r="D112" s="637"/>
      <c r="E112" s="637"/>
      <c r="F112" s="637"/>
      <c r="G112" s="637"/>
      <c r="H112" s="637"/>
      <c r="I112" s="637"/>
      <c r="J112" s="637"/>
    </row>
    <row r="113" spans="1:10" x14ac:dyDescent="0.2">
      <c r="A113" s="641" t="s">
        <v>1199</v>
      </c>
      <c r="B113" s="637"/>
      <c r="C113" s="637"/>
      <c r="D113" s="637"/>
      <c r="E113" s="637"/>
      <c r="F113" s="637"/>
      <c r="G113" s="637"/>
      <c r="H113" s="637"/>
      <c r="I113" s="637"/>
      <c r="J113" s="637"/>
    </row>
    <row r="114" spans="1:10" x14ac:dyDescent="0.2">
      <c r="A114" s="640" t="s">
        <v>1200</v>
      </c>
      <c r="B114" s="637">
        <v>883595.37</v>
      </c>
      <c r="C114" s="637"/>
      <c r="D114" s="637"/>
      <c r="E114" s="637"/>
      <c r="F114" s="637"/>
      <c r="G114" s="637"/>
      <c r="H114" s="637"/>
      <c r="I114" s="637"/>
      <c r="J114" s="637"/>
    </row>
    <row r="115" spans="1:10" x14ac:dyDescent="0.2">
      <c r="A115" s="641" t="s">
        <v>1198</v>
      </c>
      <c r="B115" s="637">
        <v>883595.37</v>
      </c>
      <c r="C115" s="637"/>
      <c r="D115" s="637"/>
      <c r="E115" s="637"/>
      <c r="F115" s="637"/>
      <c r="G115" s="637"/>
      <c r="H115" s="637"/>
      <c r="I115" s="637"/>
      <c r="J115" s="637"/>
    </row>
    <row r="116" spans="1:10" x14ac:dyDescent="0.2">
      <c r="A116" s="641" t="s">
        <v>1199</v>
      </c>
      <c r="B116" s="637"/>
      <c r="C116" s="637"/>
      <c r="D116" s="637"/>
      <c r="E116" s="637"/>
      <c r="F116" s="637"/>
      <c r="G116" s="637"/>
      <c r="H116" s="637"/>
      <c r="I116" s="637"/>
      <c r="J116" s="637"/>
    </row>
    <row r="117" spans="1:10" x14ac:dyDescent="0.2">
      <c r="A117" s="639" t="s">
        <v>620</v>
      </c>
      <c r="B117" s="637">
        <v>14592944.369999999</v>
      </c>
      <c r="C117" s="637">
        <v>7198000</v>
      </c>
      <c r="D117" s="637">
        <v>3484400</v>
      </c>
      <c r="E117" s="637">
        <v>15648</v>
      </c>
      <c r="F117" s="637">
        <v>283456.53999999998</v>
      </c>
      <c r="G117" s="637">
        <v>1841882.54</v>
      </c>
      <c r="H117" s="637">
        <v>1558426</v>
      </c>
      <c r="I117" s="637">
        <v>83.29480579378</v>
      </c>
      <c r="J117" s="637">
        <v>3484400</v>
      </c>
    </row>
    <row r="118" spans="1:10" x14ac:dyDescent="0.2">
      <c r="A118" s="640" t="s">
        <v>1201</v>
      </c>
      <c r="B118" s="637">
        <v>14592944.369999999</v>
      </c>
      <c r="C118" s="637">
        <v>4000000</v>
      </c>
      <c r="D118" s="637">
        <v>286400</v>
      </c>
      <c r="E118" s="637">
        <v>15648</v>
      </c>
      <c r="F118" s="637">
        <v>283456.53999999998</v>
      </c>
      <c r="G118" s="637">
        <v>242882.54</v>
      </c>
      <c r="H118" s="637">
        <v>-40574</v>
      </c>
      <c r="I118" s="637">
        <v>-16.70519420622</v>
      </c>
      <c r="J118" s="637">
        <v>286400</v>
      </c>
    </row>
    <row r="119" spans="1:10" x14ac:dyDescent="0.2">
      <c r="A119" s="641" t="s">
        <v>1202</v>
      </c>
      <c r="B119" s="637">
        <v>13192023.640000001</v>
      </c>
      <c r="C119" s="637">
        <v>4000000</v>
      </c>
      <c r="D119" s="637">
        <v>286400</v>
      </c>
      <c r="E119" s="637">
        <v>15648</v>
      </c>
      <c r="F119" s="637">
        <v>283456.53999999998</v>
      </c>
      <c r="G119" s="637">
        <v>242882.54</v>
      </c>
      <c r="H119" s="637">
        <v>-40574</v>
      </c>
      <c r="I119" s="637">
        <v>-16.70519420622</v>
      </c>
      <c r="J119" s="637">
        <v>286400</v>
      </c>
    </row>
    <row r="120" spans="1:10" x14ac:dyDescent="0.2">
      <c r="A120" s="641" t="s">
        <v>1203</v>
      </c>
      <c r="B120" s="637"/>
      <c r="C120" s="637"/>
      <c r="D120" s="637"/>
      <c r="E120" s="637"/>
      <c r="F120" s="637"/>
      <c r="G120" s="637"/>
      <c r="H120" s="637"/>
      <c r="I120" s="637"/>
      <c r="J120" s="637"/>
    </row>
    <row r="121" spans="1:10" x14ac:dyDescent="0.2">
      <c r="A121" s="641" t="s">
        <v>1204</v>
      </c>
      <c r="B121" s="637"/>
      <c r="C121" s="637"/>
      <c r="D121" s="637"/>
      <c r="E121" s="637"/>
      <c r="F121" s="637"/>
      <c r="G121" s="637"/>
      <c r="H121" s="637"/>
      <c r="I121" s="637"/>
      <c r="J121" s="637"/>
    </row>
    <row r="122" spans="1:10" x14ac:dyDescent="0.2">
      <c r="A122" s="641" t="s">
        <v>1205</v>
      </c>
      <c r="B122" s="637"/>
      <c r="C122" s="637"/>
      <c r="D122" s="637"/>
      <c r="E122" s="637"/>
      <c r="F122" s="637"/>
      <c r="G122" s="637"/>
      <c r="H122" s="637"/>
      <c r="I122" s="637"/>
      <c r="J122" s="637"/>
    </row>
    <row r="123" spans="1:10" x14ac:dyDescent="0.2">
      <c r="A123" s="641" t="s">
        <v>1206</v>
      </c>
      <c r="B123" s="637"/>
      <c r="C123" s="637"/>
      <c r="D123" s="637"/>
      <c r="E123" s="637"/>
      <c r="F123" s="637"/>
      <c r="G123" s="637"/>
      <c r="H123" s="637"/>
      <c r="I123" s="637"/>
      <c r="J123" s="637"/>
    </row>
    <row r="124" spans="1:10" x14ac:dyDescent="0.2">
      <c r="A124" s="641" t="s">
        <v>1207</v>
      </c>
      <c r="B124" s="637"/>
      <c r="C124" s="637"/>
      <c r="D124" s="637"/>
      <c r="E124" s="637"/>
      <c r="F124" s="637"/>
      <c r="G124" s="637"/>
      <c r="H124" s="637"/>
      <c r="I124" s="637"/>
      <c r="J124" s="637"/>
    </row>
    <row r="125" spans="1:10" x14ac:dyDescent="0.2">
      <c r="A125" s="641" t="s">
        <v>1208</v>
      </c>
      <c r="B125" s="637"/>
      <c r="C125" s="637"/>
      <c r="D125" s="637"/>
      <c r="E125" s="637"/>
      <c r="F125" s="637"/>
      <c r="G125" s="637"/>
      <c r="H125" s="637"/>
      <c r="I125" s="637"/>
      <c r="J125" s="637"/>
    </row>
    <row r="126" spans="1:10" x14ac:dyDescent="0.2">
      <c r="A126" s="641" t="s">
        <v>1209</v>
      </c>
      <c r="B126" s="637"/>
      <c r="C126" s="637"/>
      <c r="D126" s="637"/>
      <c r="E126" s="637"/>
      <c r="F126" s="637"/>
      <c r="G126" s="637"/>
      <c r="H126" s="637"/>
      <c r="I126" s="637"/>
      <c r="J126" s="637"/>
    </row>
    <row r="127" spans="1:10" x14ac:dyDescent="0.2">
      <c r="A127" s="641" t="s">
        <v>1210</v>
      </c>
      <c r="B127" s="637"/>
      <c r="C127" s="637"/>
      <c r="D127" s="637"/>
      <c r="E127" s="637"/>
      <c r="F127" s="637"/>
      <c r="G127" s="637"/>
      <c r="H127" s="637"/>
      <c r="I127" s="637"/>
      <c r="J127" s="637"/>
    </row>
    <row r="128" spans="1:10" x14ac:dyDescent="0.2">
      <c r="A128" s="641" t="s">
        <v>1211</v>
      </c>
      <c r="B128" s="637">
        <v>1400920.73</v>
      </c>
      <c r="C128" s="637"/>
      <c r="D128" s="637"/>
      <c r="E128" s="637"/>
      <c r="F128" s="637"/>
      <c r="G128" s="637"/>
      <c r="H128" s="637"/>
      <c r="I128" s="637"/>
      <c r="J128" s="637"/>
    </row>
    <row r="129" spans="1:10" x14ac:dyDescent="0.2">
      <c r="A129" s="641" t="s">
        <v>1122</v>
      </c>
      <c r="B129" s="637"/>
      <c r="C129" s="637"/>
      <c r="D129" s="637"/>
      <c r="E129" s="637"/>
      <c r="F129" s="637"/>
      <c r="G129" s="637"/>
      <c r="H129" s="637"/>
      <c r="I129" s="637"/>
      <c r="J129" s="637"/>
    </row>
    <row r="130" spans="1:10" x14ac:dyDescent="0.2">
      <c r="A130" s="640" t="s">
        <v>659</v>
      </c>
      <c r="B130" s="637"/>
      <c r="C130" s="637">
        <v>3198000</v>
      </c>
      <c r="D130" s="637">
        <v>3198000</v>
      </c>
      <c r="E130" s="637"/>
      <c r="F130" s="637"/>
      <c r="G130" s="637">
        <v>1599000</v>
      </c>
      <c r="H130" s="637">
        <v>1599000</v>
      </c>
      <c r="I130" s="637">
        <v>100</v>
      </c>
      <c r="J130" s="637">
        <v>3198000</v>
      </c>
    </row>
    <row r="131" spans="1:10" x14ac:dyDescent="0.2">
      <c r="A131" s="641" t="s">
        <v>1212</v>
      </c>
      <c r="B131" s="637"/>
      <c r="C131" s="637"/>
      <c r="D131" s="637"/>
      <c r="E131" s="637"/>
      <c r="F131" s="637"/>
      <c r="G131" s="637"/>
      <c r="H131" s="637"/>
      <c r="I131" s="637"/>
      <c r="J131" s="637"/>
    </row>
    <row r="132" spans="1:10" x14ac:dyDescent="0.2">
      <c r="A132" s="641" t="s">
        <v>1213</v>
      </c>
      <c r="B132" s="637"/>
      <c r="C132" s="637">
        <v>3198000</v>
      </c>
      <c r="D132" s="637">
        <v>3198000</v>
      </c>
      <c r="E132" s="637"/>
      <c r="F132" s="637"/>
      <c r="G132" s="637">
        <v>1599000</v>
      </c>
      <c r="H132" s="637">
        <v>1599000</v>
      </c>
      <c r="I132" s="637">
        <v>100</v>
      </c>
      <c r="J132" s="637">
        <v>3198000</v>
      </c>
    </row>
    <row r="133" spans="1:10" x14ac:dyDescent="0.2">
      <c r="A133" s="641" t="s">
        <v>1122</v>
      </c>
      <c r="B133" s="637"/>
      <c r="C133" s="637"/>
      <c r="D133" s="637"/>
      <c r="E133" s="637"/>
      <c r="F133" s="637"/>
      <c r="G133" s="637"/>
      <c r="H133" s="637"/>
      <c r="I133" s="637"/>
      <c r="J133" s="637"/>
    </row>
    <row r="134" spans="1:10" x14ac:dyDescent="0.2">
      <c r="A134" s="639" t="s">
        <v>1214</v>
      </c>
      <c r="B134" s="637"/>
      <c r="C134" s="637"/>
      <c r="D134" s="637"/>
      <c r="E134" s="637"/>
      <c r="F134" s="637"/>
      <c r="G134" s="637"/>
      <c r="H134" s="637"/>
      <c r="I134" s="637"/>
      <c r="J134" s="637"/>
    </row>
    <row r="135" spans="1:10" x14ac:dyDescent="0.2">
      <c r="A135" s="640" t="s">
        <v>1214</v>
      </c>
      <c r="B135" s="637"/>
      <c r="C135" s="637"/>
      <c r="D135" s="637"/>
      <c r="E135" s="637"/>
      <c r="F135" s="637"/>
      <c r="G135" s="637"/>
      <c r="H135" s="637"/>
      <c r="I135" s="637"/>
      <c r="J135" s="637"/>
    </row>
    <row r="136" spans="1:10" x14ac:dyDescent="0.2">
      <c r="A136" s="641" t="s">
        <v>1214</v>
      </c>
      <c r="B136" s="637"/>
      <c r="C136" s="637"/>
      <c r="D136" s="637"/>
      <c r="E136" s="637"/>
      <c r="F136" s="637"/>
      <c r="G136" s="637"/>
      <c r="H136" s="637"/>
      <c r="I136" s="637"/>
      <c r="J136" s="637"/>
    </row>
    <row r="137" spans="1:10" x14ac:dyDescent="0.2">
      <c r="A137" s="639" t="s">
        <v>1215</v>
      </c>
      <c r="B137" s="637">
        <v>2016054.78</v>
      </c>
      <c r="C137" s="637"/>
      <c r="D137" s="637"/>
      <c r="E137" s="637"/>
      <c r="F137" s="637"/>
      <c r="G137" s="637"/>
      <c r="H137" s="637"/>
      <c r="I137" s="637"/>
      <c r="J137" s="637"/>
    </row>
    <row r="138" spans="1:10" x14ac:dyDescent="0.2">
      <c r="A138" s="640" t="s">
        <v>1216</v>
      </c>
      <c r="B138" s="637"/>
      <c r="C138" s="637"/>
      <c r="D138" s="637"/>
      <c r="E138" s="637"/>
      <c r="F138" s="637"/>
      <c r="G138" s="637"/>
      <c r="H138" s="637"/>
      <c r="I138" s="637"/>
      <c r="J138" s="637"/>
    </row>
    <row r="139" spans="1:10" x14ac:dyDescent="0.2">
      <c r="A139" s="641" t="s">
        <v>1216</v>
      </c>
      <c r="B139" s="637"/>
      <c r="C139" s="637"/>
      <c r="D139" s="637"/>
      <c r="E139" s="637"/>
      <c r="F139" s="637"/>
      <c r="G139" s="637"/>
      <c r="H139" s="637"/>
      <c r="I139" s="637"/>
      <c r="J139" s="637"/>
    </row>
    <row r="140" spans="1:10" x14ac:dyDescent="0.2">
      <c r="A140" s="640" t="s">
        <v>1217</v>
      </c>
      <c r="B140" s="637">
        <v>2016054.78</v>
      </c>
      <c r="C140" s="637"/>
      <c r="D140" s="637"/>
      <c r="E140" s="637"/>
      <c r="F140" s="637"/>
      <c r="G140" s="637"/>
      <c r="H140" s="637"/>
      <c r="I140" s="637"/>
      <c r="J140" s="637"/>
    </row>
    <row r="141" spans="1:10" x14ac:dyDescent="0.2">
      <c r="A141" s="641" t="s">
        <v>1218</v>
      </c>
      <c r="B141" s="637">
        <v>0</v>
      </c>
      <c r="C141" s="637"/>
      <c r="D141" s="637"/>
      <c r="E141" s="637"/>
      <c r="F141" s="637"/>
      <c r="G141" s="637"/>
      <c r="H141" s="637"/>
      <c r="I141" s="637"/>
      <c r="J141" s="637"/>
    </row>
    <row r="142" spans="1:10" x14ac:dyDescent="0.2">
      <c r="A142" s="641" t="s">
        <v>1219</v>
      </c>
      <c r="B142" s="637"/>
      <c r="C142" s="637"/>
      <c r="D142" s="637"/>
      <c r="E142" s="637"/>
      <c r="F142" s="637"/>
      <c r="G142" s="637"/>
      <c r="H142" s="637"/>
      <c r="I142" s="637"/>
      <c r="J142" s="637"/>
    </row>
    <row r="143" spans="1:10" x14ac:dyDescent="0.2">
      <c r="A143" s="641" t="s">
        <v>1220</v>
      </c>
      <c r="B143" s="637"/>
      <c r="C143" s="637"/>
      <c r="D143" s="637"/>
      <c r="E143" s="637"/>
      <c r="F143" s="637"/>
      <c r="G143" s="637"/>
      <c r="H143" s="637"/>
      <c r="I143" s="637"/>
      <c r="J143" s="637"/>
    </row>
    <row r="144" spans="1:10" x14ac:dyDescent="0.2">
      <c r="A144" s="641" t="s">
        <v>1221</v>
      </c>
      <c r="B144" s="637">
        <v>2016054.78</v>
      </c>
      <c r="C144" s="637"/>
      <c r="D144" s="637"/>
      <c r="E144" s="637"/>
      <c r="F144" s="637"/>
      <c r="G144" s="637"/>
      <c r="H144" s="637"/>
      <c r="I144" s="637"/>
      <c r="J144" s="637"/>
    </row>
    <row r="145" spans="1:10" x14ac:dyDescent="0.2">
      <c r="A145" s="641" t="s">
        <v>1222</v>
      </c>
      <c r="B145" s="637"/>
      <c r="C145" s="637"/>
      <c r="D145" s="637"/>
      <c r="E145" s="637"/>
      <c r="F145" s="637"/>
      <c r="G145" s="637"/>
      <c r="H145" s="637"/>
      <c r="I145" s="637"/>
      <c r="J145" s="637"/>
    </row>
    <row r="146" spans="1:10" x14ac:dyDescent="0.2">
      <c r="A146" s="641" t="s">
        <v>1223</v>
      </c>
      <c r="B146" s="637"/>
      <c r="C146" s="637"/>
      <c r="D146" s="637"/>
      <c r="E146" s="637"/>
      <c r="F146" s="637"/>
      <c r="G146" s="637"/>
      <c r="H146" s="637"/>
      <c r="I146" s="637"/>
      <c r="J146" s="637"/>
    </row>
    <row r="147" spans="1:10" x14ac:dyDescent="0.2">
      <c r="A147" s="639" t="s">
        <v>1224</v>
      </c>
      <c r="B147" s="637"/>
      <c r="C147" s="637"/>
      <c r="D147" s="637"/>
      <c r="E147" s="637"/>
      <c r="F147" s="637"/>
      <c r="G147" s="637"/>
      <c r="H147" s="637"/>
      <c r="I147" s="637"/>
      <c r="J147" s="637"/>
    </row>
    <row r="148" spans="1:10" x14ac:dyDescent="0.2">
      <c r="A148" s="640" t="s">
        <v>1224</v>
      </c>
      <c r="B148" s="637"/>
      <c r="C148" s="637"/>
      <c r="D148" s="637"/>
      <c r="E148" s="637"/>
      <c r="F148" s="637"/>
      <c r="G148" s="637"/>
      <c r="H148" s="637"/>
      <c r="I148" s="637"/>
      <c r="J148" s="637"/>
    </row>
    <row r="149" spans="1:10" x14ac:dyDescent="0.2">
      <c r="A149" s="641" t="s">
        <v>1224</v>
      </c>
      <c r="B149" s="637"/>
      <c r="C149" s="637"/>
      <c r="D149" s="637"/>
      <c r="E149" s="637"/>
      <c r="F149" s="637"/>
      <c r="G149" s="637"/>
      <c r="H149" s="637"/>
      <c r="I149" s="637"/>
      <c r="J149" s="637"/>
    </row>
    <row r="150" spans="1:10" x14ac:dyDescent="0.2">
      <c r="A150" s="639" t="s">
        <v>1225</v>
      </c>
      <c r="B150" s="637"/>
      <c r="C150" s="637">
        <v>8000</v>
      </c>
      <c r="D150" s="637">
        <v>8000</v>
      </c>
      <c r="E150" s="637"/>
      <c r="F150" s="637"/>
      <c r="G150" s="637"/>
      <c r="H150" s="637"/>
      <c r="I150" s="637"/>
      <c r="J150" s="637">
        <v>8000</v>
      </c>
    </row>
    <row r="151" spans="1:10" x14ac:dyDescent="0.2">
      <c r="A151" s="640" t="s">
        <v>1225</v>
      </c>
      <c r="B151" s="637"/>
      <c r="C151" s="637">
        <v>8000</v>
      </c>
      <c r="D151" s="637">
        <v>8000</v>
      </c>
      <c r="E151" s="637"/>
      <c r="F151" s="637"/>
      <c r="G151" s="637"/>
      <c r="H151" s="637"/>
      <c r="I151" s="637"/>
      <c r="J151" s="637">
        <v>8000</v>
      </c>
    </row>
    <row r="152" spans="1:10" x14ac:dyDescent="0.2">
      <c r="A152" s="641" t="s">
        <v>1225</v>
      </c>
      <c r="B152" s="637"/>
      <c r="C152" s="637">
        <v>8000</v>
      </c>
      <c r="D152" s="637">
        <v>8000</v>
      </c>
      <c r="E152" s="637"/>
      <c r="F152" s="637"/>
      <c r="G152" s="637"/>
      <c r="H152" s="637"/>
      <c r="I152" s="637"/>
      <c r="J152" s="637">
        <v>8000</v>
      </c>
    </row>
    <row r="153" spans="1:10" x14ac:dyDescent="0.2">
      <c r="A153" s="639" t="s">
        <v>1226</v>
      </c>
      <c r="B153" s="637">
        <v>16365729.109999999</v>
      </c>
      <c r="C153" s="637">
        <v>2800000</v>
      </c>
      <c r="D153" s="637">
        <v>4800000</v>
      </c>
      <c r="E153" s="637"/>
      <c r="F153" s="637"/>
      <c r="G153" s="637">
        <v>2500000</v>
      </c>
      <c r="H153" s="637">
        <v>2500000</v>
      </c>
      <c r="I153" s="637">
        <v>100</v>
      </c>
      <c r="J153" s="637">
        <v>4800000</v>
      </c>
    </row>
    <row r="154" spans="1:10" x14ac:dyDescent="0.2">
      <c r="A154" s="640" t="s">
        <v>1226</v>
      </c>
      <c r="B154" s="637">
        <v>16365729.109999999</v>
      </c>
      <c r="C154" s="637">
        <v>2800000</v>
      </c>
      <c r="D154" s="637">
        <v>4800000</v>
      </c>
      <c r="E154" s="637"/>
      <c r="F154" s="637"/>
      <c r="G154" s="637">
        <v>2500000</v>
      </c>
      <c r="H154" s="637">
        <v>2500000</v>
      </c>
      <c r="I154" s="637">
        <v>100</v>
      </c>
      <c r="J154" s="637">
        <v>4800000</v>
      </c>
    </row>
    <row r="155" spans="1:10" x14ac:dyDescent="0.2">
      <c r="A155" s="641" t="s">
        <v>1226</v>
      </c>
      <c r="B155" s="637">
        <v>16365729.109999999</v>
      </c>
      <c r="C155" s="637">
        <v>2800000</v>
      </c>
      <c r="D155" s="637">
        <v>4800000</v>
      </c>
      <c r="E155" s="637"/>
      <c r="F155" s="637"/>
      <c r="G155" s="637">
        <v>2500000</v>
      </c>
      <c r="H155" s="637">
        <v>2500000</v>
      </c>
      <c r="I155" s="637">
        <v>100</v>
      </c>
      <c r="J155" s="637">
        <v>4800000</v>
      </c>
    </row>
    <row r="156" spans="1:10" x14ac:dyDescent="0.2">
      <c r="A156" s="639" t="s">
        <v>1227</v>
      </c>
      <c r="B156" s="637"/>
      <c r="C156" s="637"/>
      <c r="D156" s="637"/>
      <c r="E156" s="637"/>
      <c r="F156" s="637"/>
      <c r="G156" s="637"/>
      <c r="H156" s="637"/>
      <c r="I156" s="637"/>
      <c r="J156" s="637"/>
    </row>
    <row r="157" spans="1:10" x14ac:dyDescent="0.2">
      <c r="A157" s="640" t="s">
        <v>1227</v>
      </c>
      <c r="B157" s="637"/>
      <c r="C157" s="637"/>
      <c r="D157" s="637"/>
      <c r="E157" s="637"/>
      <c r="F157" s="637"/>
      <c r="G157" s="637"/>
      <c r="H157" s="637"/>
      <c r="I157" s="637"/>
      <c r="J157" s="637"/>
    </row>
    <row r="158" spans="1:10" x14ac:dyDescent="0.2">
      <c r="A158" s="641" t="s">
        <v>1227</v>
      </c>
      <c r="B158" s="637"/>
      <c r="C158" s="637"/>
      <c r="D158" s="637"/>
      <c r="E158" s="637"/>
      <c r="F158" s="637"/>
      <c r="G158" s="637"/>
      <c r="H158" s="637"/>
      <c r="I158" s="637"/>
      <c r="J158" s="637"/>
    </row>
    <row r="159" spans="1:10" x14ac:dyDescent="0.2">
      <c r="A159" s="639" t="s">
        <v>1235</v>
      </c>
      <c r="B159" s="637"/>
      <c r="C159" s="637"/>
      <c r="D159" s="637"/>
      <c r="E159" s="637"/>
      <c r="F159" s="637"/>
      <c r="G159" s="637"/>
      <c r="H159" s="637"/>
      <c r="I159" s="637"/>
      <c r="J159" s="637"/>
    </row>
    <row r="160" spans="1:10" x14ac:dyDescent="0.2">
      <c r="A160" s="640" t="s">
        <v>1235</v>
      </c>
      <c r="B160" s="637"/>
      <c r="C160" s="637"/>
      <c r="D160" s="637"/>
      <c r="E160" s="637"/>
      <c r="F160" s="637"/>
      <c r="G160" s="637"/>
      <c r="H160" s="637"/>
      <c r="I160" s="637"/>
      <c r="J160" s="637"/>
    </row>
    <row r="161" spans="1:10" x14ac:dyDescent="0.2">
      <c r="A161" s="641" t="s">
        <v>1235</v>
      </c>
      <c r="B161" s="637"/>
      <c r="C161" s="637"/>
      <c r="D161" s="637"/>
      <c r="E161" s="637"/>
      <c r="F161" s="637"/>
      <c r="G161" s="637"/>
      <c r="H161" s="637"/>
      <c r="I161" s="637"/>
      <c r="J161" s="637"/>
    </row>
    <row r="162" spans="1:10" x14ac:dyDescent="0.2">
      <c r="A162" s="639" t="s">
        <v>1228</v>
      </c>
      <c r="B162" s="637"/>
      <c r="C162" s="637"/>
      <c r="D162" s="637"/>
      <c r="E162" s="637"/>
      <c r="F162" s="637"/>
      <c r="G162" s="637"/>
      <c r="H162" s="637"/>
      <c r="I162" s="637"/>
      <c r="J162" s="637"/>
    </row>
    <row r="163" spans="1:10" x14ac:dyDescent="0.2">
      <c r="A163" s="640" t="s">
        <v>1228</v>
      </c>
      <c r="B163" s="637"/>
      <c r="C163" s="637"/>
      <c r="D163" s="637"/>
      <c r="E163" s="637"/>
      <c r="F163" s="637"/>
      <c r="G163" s="637"/>
      <c r="H163" s="637"/>
      <c r="I163" s="637"/>
      <c r="J163" s="637"/>
    </row>
    <row r="164" spans="1:10" x14ac:dyDescent="0.2">
      <c r="A164" s="641" t="s">
        <v>1228</v>
      </c>
      <c r="B164" s="637"/>
      <c r="C164" s="637"/>
      <c r="D164" s="637"/>
      <c r="E164" s="637"/>
      <c r="F164" s="637"/>
      <c r="G164" s="637"/>
      <c r="H164" s="637"/>
      <c r="I164" s="637"/>
      <c r="J164" s="637"/>
    </row>
    <row r="165" spans="1:10" x14ac:dyDescent="0.2">
      <c r="A165" s="638" t="s">
        <v>1347</v>
      </c>
      <c r="B165" s="637">
        <v>297160376.24000001</v>
      </c>
      <c r="C165" s="637">
        <v>220702300</v>
      </c>
      <c r="D165" s="637">
        <v>251889000</v>
      </c>
      <c r="E165" s="637">
        <v>23631386.600000001</v>
      </c>
      <c r="F165" s="637">
        <v>219558545.77000001</v>
      </c>
      <c r="G165" s="637">
        <v>237351578.77000001</v>
      </c>
      <c r="H165" s="637">
        <v>17793033</v>
      </c>
      <c r="I165" s="637">
        <v>416.547619069902</v>
      </c>
      <c r="J165" s="637">
        <v>251889000</v>
      </c>
    </row>
  </sheetData>
  <pageMargins left="0.7" right="0.7" top="0.75" bottom="0.75" header="0.3" footer="0.3"/>
  <customProperties>
    <customPr name="_pios_id" r:id="rId1"/>
    <customPr name="CofWorksheetTyp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U1" workbookViewId="0">
      <selection activeCell="AH3" sqref="AH3"/>
    </sheetView>
  </sheetViews>
  <sheetFormatPr defaultColWidth="9.28515625" defaultRowHeight="11.25" x14ac:dyDescent="0.2"/>
  <cols>
    <col min="1" max="1" width="28.7109375" style="1" bestFit="1" customWidth="1"/>
    <col min="2" max="4" width="41.7109375" style="1" bestFit="1" customWidth="1"/>
    <col min="5" max="14" width="41.7109375" style="1" customWidth="1"/>
    <col min="15" max="15" width="43.5703125" style="1" customWidth="1"/>
    <col min="16" max="16" width="1.28515625" style="1" customWidth="1"/>
    <col min="17" max="17" width="9.28515625" style="1"/>
    <col min="18" max="19" width="33.42578125" style="1" bestFit="1" customWidth="1"/>
    <col min="20" max="20" width="31.7109375" style="1" customWidth="1"/>
    <col min="21" max="21" width="22.7109375" style="1" customWidth="1"/>
    <col min="22" max="16384" width="9.28515625" style="1"/>
  </cols>
  <sheetData>
    <row r="1" spans="1:22" s="176" customFormat="1" x14ac:dyDescent="0.2">
      <c r="A1" s="177" t="s">
        <v>621</v>
      </c>
      <c r="B1" s="178">
        <v>2013</v>
      </c>
      <c r="C1" s="178">
        <v>2014</v>
      </c>
      <c r="D1" s="178">
        <v>2015</v>
      </c>
      <c r="E1" s="179">
        <v>2016</v>
      </c>
      <c r="F1" s="178">
        <v>2017</v>
      </c>
      <c r="G1" s="179">
        <v>2018</v>
      </c>
      <c r="H1" s="178">
        <v>2019</v>
      </c>
      <c r="I1" s="179">
        <v>2020</v>
      </c>
      <c r="J1" s="178">
        <v>2021</v>
      </c>
      <c r="K1" s="179">
        <v>2022</v>
      </c>
      <c r="L1" s="178">
        <v>2023</v>
      </c>
      <c r="M1" s="179">
        <v>2024</v>
      </c>
      <c r="N1" s="178">
        <v>2025</v>
      </c>
      <c r="O1" s="179">
        <v>2026</v>
      </c>
      <c r="P1" s="180"/>
      <c r="Q1" s="181" t="s">
        <v>21</v>
      </c>
      <c r="R1" s="181" t="s">
        <v>22</v>
      </c>
      <c r="S1" s="181" t="s">
        <v>23</v>
      </c>
      <c r="T1" s="181" t="s">
        <v>24</v>
      </c>
      <c r="U1" s="181" t="s">
        <v>25</v>
      </c>
      <c r="V1" s="176" t="s">
        <v>59</v>
      </c>
    </row>
    <row r="2" spans="1:22" x14ac:dyDescent="0.2">
      <c r="A2" s="5" t="str">
        <f>'Template names'!C2</f>
        <v>Prior year -1</v>
      </c>
      <c r="B2" s="184" t="str">
        <f>B1-1&amp;"/"&amp;RIGHT(B1,2)-0</f>
        <v>2012/13</v>
      </c>
      <c r="C2" s="184" t="str">
        <f>C1-1&amp;"/"&amp;RIGHT(C1,2)-0</f>
        <v>2013/14</v>
      </c>
      <c r="D2" s="184" t="str">
        <f>D1-1&amp;"/"&amp;RIGHT(D1,2)-0</f>
        <v>2014/15</v>
      </c>
      <c r="E2" s="184" t="str">
        <f>E1-1&amp;"/"&amp;RIGHT(E1,2)-0</f>
        <v>2015/16</v>
      </c>
      <c r="F2" s="184" t="str">
        <f t="shared" ref="F2:O2" si="0">F1-1&amp;"/"&amp;RIGHT(F1,2)-0</f>
        <v>2016/17</v>
      </c>
      <c r="G2" s="184" t="str">
        <f t="shared" si="0"/>
        <v>2017/18</v>
      </c>
      <c r="H2" s="184" t="str">
        <f t="shared" si="0"/>
        <v>2018/19</v>
      </c>
      <c r="I2" s="184" t="str">
        <f t="shared" si="0"/>
        <v>2019/20</v>
      </c>
      <c r="J2" s="184" t="str">
        <f t="shared" si="0"/>
        <v>2020/21</v>
      </c>
      <c r="K2" s="184" t="str">
        <f t="shared" si="0"/>
        <v>2021/22</v>
      </c>
      <c r="L2" s="184" t="str">
        <f t="shared" si="0"/>
        <v>2022/23</v>
      </c>
      <c r="M2" s="184" t="str">
        <f t="shared" si="0"/>
        <v>2023/24</v>
      </c>
      <c r="N2" s="184" t="str">
        <f t="shared" si="0"/>
        <v>2024/25</v>
      </c>
      <c r="O2" s="184" t="str">
        <f t="shared" si="0"/>
        <v>2025/26</v>
      </c>
      <c r="R2" s="1" t="s">
        <v>911</v>
      </c>
      <c r="S2" s="1" t="s">
        <v>921</v>
      </c>
      <c r="T2" s="1" t="s">
        <v>35</v>
      </c>
      <c r="U2" s="1" t="s">
        <v>928</v>
      </c>
      <c r="V2" s="1" t="s">
        <v>523</v>
      </c>
    </row>
    <row r="3" spans="1:22" x14ac:dyDescent="0.2">
      <c r="A3" s="5" t="str">
        <f>'Template names'!C5</f>
        <v>MTREF header name</v>
      </c>
      <c r="B3" s="182" t="str">
        <f>B1&amp;"/"&amp;RIGHT(B1,2)+1&amp;" Medium Term Revenue &amp; Expenditure Framework"</f>
        <v>2013/14 Medium Term Revenue &amp; Expenditure Framework</v>
      </c>
      <c r="C3" s="182" t="str">
        <f>C1&amp;"/"&amp;RIGHT(C1,2)+1&amp;" Medium Term Revenue &amp; Expenditure Framework"</f>
        <v>2014/15 Medium Term Revenue &amp; Expenditure Framework</v>
      </c>
      <c r="D3" s="182" t="str">
        <f>D1&amp;"/"&amp;RIGHT(D1,2)+1&amp;" Medium Term Revenue &amp; Expenditure Framework"</f>
        <v>2015/16 Medium Term Revenue &amp; Expenditure Framework</v>
      </c>
      <c r="E3" s="182" t="str">
        <f>E1&amp;"/"&amp;RIGHT(E1,2)+1&amp;" Medium Term Revenue &amp; Expenditure Framework"</f>
        <v>2016/17 Medium Term Revenue &amp; Expenditure Framework</v>
      </c>
      <c r="F3" s="182" t="str">
        <f t="shared" ref="F3:O3" si="1">F1&amp;"/"&amp;RIGHT(F1,2)+1&amp;" Medium Term Revenue &amp; Expenditure Framework"</f>
        <v>2017/18 Medium Term Revenue &amp; Expenditure Framework</v>
      </c>
      <c r="G3" s="182" t="str">
        <f t="shared" si="1"/>
        <v>2018/19 Medium Term Revenue &amp; Expenditure Framework</v>
      </c>
      <c r="H3" s="182" t="str">
        <f t="shared" si="1"/>
        <v>2019/20 Medium Term Revenue &amp; Expenditure Framework</v>
      </c>
      <c r="I3" s="182" t="str">
        <f t="shared" si="1"/>
        <v>2020/21 Medium Term Revenue &amp; Expenditure Framework</v>
      </c>
      <c r="J3" s="182" t="str">
        <f t="shared" si="1"/>
        <v>2021/22 Medium Term Revenue &amp; Expenditure Framework</v>
      </c>
      <c r="K3" s="182" t="str">
        <f t="shared" si="1"/>
        <v>2022/23 Medium Term Revenue &amp; Expenditure Framework</v>
      </c>
      <c r="L3" s="182" t="str">
        <f t="shared" si="1"/>
        <v>2023/24 Medium Term Revenue &amp; Expenditure Framework</v>
      </c>
      <c r="M3" s="182" t="str">
        <f t="shared" si="1"/>
        <v>2024/25 Medium Term Revenue &amp; Expenditure Framework</v>
      </c>
      <c r="N3" s="182" t="str">
        <f t="shared" si="1"/>
        <v>2025/26 Medium Term Revenue &amp; Expenditure Framework</v>
      </c>
      <c r="O3" s="182" t="str">
        <f t="shared" si="1"/>
        <v>2026/27 Medium Term Revenue &amp; Expenditure Framework</v>
      </c>
      <c r="R3" s="1" t="s">
        <v>912</v>
      </c>
      <c r="S3" s="1" t="s">
        <v>922</v>
      </c>
      <c r="T3" s="1" t="s">
        <v>933</v>
      </c>
      <c r="U3" s="1" t="s">
        <v>929</v>
      </c>
      <c r="V3" s="1" t="s">
        <v>60</v>
      </c>
    </row>
    <row r="4" spans="1:22" x14ac:dyDescent="0.2">
      <c r="A4" s="5" t="str">
        <f>'Template names'!C4</f>
        <v>Approved budget year</v>
      </c>
      <c r="B4" s="185" t="str">
        <f>B1&amp;"/"&amp;RIGHT(B1,2)+1</f>
        <v>2013/14</v>
      </c>
      <c r="C4" s="185" t="str">
        <f>C1&amp;"/"&amp;RIGHT(C1,2)+1</f>
        <v>2014/15</v>
      </c>
      <c r="D4" s="185" t="str">
        <f>D1&amp;"/"&amp;RIGHT(D1,2)+1</f>
        <v>2015/16</v>
      </c>
      <c r="E4" s="185" t="str">
        <f>E1&amp;"/"&amp;RIGHT(E1,2)+1</f>
        <v>2016/17</v>
      </c>
      <c r="F4" s="185" t="str">
        <f t="shared" ref="F4:O4" si="2">F1&amp;"/"&amp;RIGHT(F1,2)+1</f>
        <v>2017/18</v>
      </c>
      <c r="G4" s="185" t="str">
        <f t="shared" si="2"/>
        <v>2018/19</v>
      </c>
      <c r="H4" s="185" t="str">
        <f t="shared" si="2"/>
        <v>2019/20</v>
      </c>
      <c r="I4" s="185" t="str">
        <f t="shared" si="2"/>
        <v>2020/21</v>
      </c>
      <c r="J4" s="185" t="str">
        <f t="shared" si="2"/>
        <v>2021/22</v>
      </c>
      <c r="K4" s="185" t="str">
        <f t="shared" si="2"/>
        <v>2022/23</v>
      </c>
      <c r="L4" s="185" t="str">
        <f t="shared" si="2"/>
        <v>2023/24</v>
      </c>
      <c r="M4" s="185" t="str">
        <f t="shared" si="2"/>
        <v>2024/25</v>
      </c>
      <c r="N4" s="185" t="str">
        <f t="shared" si="2"/>
        <v>2025/26</v>
      </c>
      <c r="O4" s="185" t="str">
        <f t="shared" si="2"/>
        <v>2026/27</v>
      </c>
      <c r="R4" s="1" t="s">
        <v>913</v>
      </c>
      <c r="S4" s="1" t="s">
        <v>659</v>
      </c>
      <c r="T4" s="1" t="s">
        <v>923</v>
      </c>
      <c r="U4" s="1" t="s">
        <v>559</v>
      </c>
    </row>
    <row r="5" spans="1:22" x14ac:dyDescent="0.2">
      <c r="A5" s="5" t="str">
        <f>'Template names'!C12</f>
        <v>1st year of MTREF</v>
      </c>
      <c r="B5" s="182" t="str">
        <f>"Budget Year "&amp;B1&amp;"/"&amp;RIGHT(B1,2)+1</f>
        <v>Budget Year 2013/14</v>
      </c>
      <c r="C5" s="182" t="str">
        <f>"Budget Year "&amp;C1&amp;"/"&amp;RIGHT(C1,2)+1</f>
        <v>Budget Year 2014/15</v>
      </c>
      <c r="D5" s="182" t="str">
        <f>"Budget Year "&amp;D1&amp;"/"&amp;RIGHT(D1,2)+1</f>
        <v>Budget Year 2015/16</v>
      </c>
      <c r="E5" s="182" t="str">
        <f>"Budget Year "&amp;E1&amp;"/"&amp;RIGHT(E1,2)+1</f>
        <v>Budget Year 2016/17</v>
      </c>
      <c r="F5" s="182" t="str">
        <f t="shared" ref="F5:O5" si="3">"Budget Year "&amp;F1&amp;"/"&amp;RIGHT(F1,2)+1</f>
        <v>Budget Year 2017/18</v>
      </c>
      <c r="G5" s="182" t="str">
        <f t="shared" si="3"/>
        <v>Budget Year 2018/19</v>
      </c>
      <c r="H5" s="182" t="str">
        <f t="shared" si="3"/>
        <v>Budget Year 2019/20</v>
      </c>
      <c r="I5" s="182" t="str">
        <f t="shared" si="3"/>
        <v>Budget Year 2020/21</v>
      </c>
      <c r="J5" s="182" t="str">
        <f t="shared" si="3"/>
        <v>Budget Year 2021/22</v>
      </c>
      <c r="K5" s="182" t="str">
        <f t="shared" si="3"/>
        <v>Budget Year 2022/23</v>
      </c>
      <c r="L5" s="182" t="str">
        <f t="shared" si="3"/>
        <v>Budget Year 2023/24</v>
      </c>
      <c r="M5" s="182" t="str">
        <f t="shared" si="3"/>
        <v>Budget Year 2024/25</v>
      </c>
      <c r="N5" s="182" t="str">
        <f t="shared" si="3"/>
        <v>Budget Year 2025/26</v>
      </c>
      <c r="O5" s="182" t="str">
        <f t="shared" si="3"/>
        <v>Budget Year 2026/27</v>
      </c>
      <c r="R5" s="1" t="s">
        <v>520</v>
      </c>
      <c r="S5" s="1" t="s">
        <v>717</v>
      </c>
      <c r="T5" s="1" t="s">
        <v>924</v>
      </c>
      <c r="U5" s="1" t="s">
        <v>930</v>
      </c>
    </row>
    <row r="6" spans="1:22" x14ac:dyDescent="0.2">
      <c r="A6" s="5" t="str">
        <f>'Template names'!C13</f>
        <v>2nd year of MTREF</v>
      </c>
      <c r="B6" s="182" t="str">
        <f>"Budget Year +1 "&amp;B1+1&amp;"/"&amp;RIGHT(B1,2)+2</f>
        <v>Budget Year +1 2014/15</v>
      </c>
      <c r="C6" s="182" t="str">
        <f>"Budget Year +1 "&amp;C1+1&amp;"/"&amp;RIGHT(C1,2)+2</f>
        <v>Budget Year +1 2015/16</v>
      </c>
      <c r="D6" s="182" t="str">
        <f>"Budget Year +1 "&amp;D1+1&amp;"/"&amp;RIGHT(D1,2)+2</f>
        <v>Budget Year +1 2016/17</v>
      </c>
      <c r="E6" s="182" t="str">
        <f>"Budget Year +1 "&amp;E1+1&amp;"/"&amp;RIGHT(E1,2)+2</f>
        <v>Budget Year +1 2017/18</v>
      </c>
      <c r="F6" s="182" t="str">
        <f t="shared" ref="F6:O6" si="4">"Budget Year +1 "&amp;F1+1&amp;"/"&amp;RIGHT(F1,2)+2</f>
        <v>Budget Year +1 2018/19</v>
      </c>
      <c r="G6" s="182" t="str">
        <f t="shared" si="4"/>
        <v>Budget Year +1 2019/20</v>
      </c>
      <c r="H6" s="182" t="str">
        <f t="shared" si="4"/>
        <v>Budget Year +1 2020/21</v>
      </c>
      <c r="I6" s="182" t="str">
        <f t="shared" si="4"/>
        <v>Budget Year +1 2021/22</v>
      </c>
      <c r="J6" s="182" t="str">
        <f t="shared" si="4"/>
        <v>Budget Year +1 2022/23</v>
      </c>
      <c r="K6" s="182" t="str">
        <f t="shared" si="4"/>
        <v>Budget Year +1 2023/24</v>
      </c>
      <c r="L6" s="182" t="str">
        <f t="shared" si="4"/>
        <v>Budget Year +1 2024/25</v>
      </c>
      <c r="M6" s="182" t="str">
        <f t="shared" si="4"/>
        <v>Budget Year +1 2025/26</v>
      </c>
      <c r="N6" s="182" t="str">
        <f t="shared" si="4"/>
        <v>Budget Year +1 2026/27</v>
      </c>
      <c r="O6" s="182" t="str">
        <f t="shared" si="4"/>
        <v>Budget Year +1 2027/28</v>
      </c>
      <c r="R6" s="1" t="s">
        <v>914</v>
      </c>
      <c r="T6" s="1" t="s">
        <v>925</v>
      </c>
      <c r="U6" s="1" t="s">
        <v>931</v>
      </c>
    </row>
    <row r="7" spans="1:22" x14ac:dyDescent="0.2">
      <c r="A7" s="5" t="str">
        <f>'Template names'!C14</f>
        <v>3rd year of MTREF</v>
      </c>
      <c r="B7" s="182" t="str">
        <f>"Budget Year +2 "&amp;B1+2&amp;"/"&amp;RIGHT(B1,2)+3</f>
        <v>Budget Year +2 2015/16</v>
      </c>
      <c r="C7" s="182" t="str">
        <f>"Budget Year +2 "&amp;C1+2&amp;"/"&amp;RIGHT(C1,2)+3</f>
        <v>Budget Year +2 2016/17</v>
      </c>
      <c r="D7" s="182" t="str">
        <f>"Budget Year +2 "&amp;D1+2&amp;"/"&amp;RIGHT(D1,2)+3</f>
        <v>Budget Year +2 2017/18</v>
      </c>
      <c r="E7" s="182" t="str">
        <f>"Budget Year +2 "&amp;E1+2&amp;"/"&amp;RIGHT(E1,2)+3</f>
        <v>Budget Year +2 2018/19</v>
      </c>
      <c r="F7" s="182" t="str">
        <f t="shared" ref="F7:O7" si="5">"Budget Year +2 "&amp;F1+2&amp;"/"&amp;RIGHT(F1,2)+3</f>
        <v>Budget Year +2 2019/20</v>
      </c>
      <c r="G7" s="182" t="str">
        <f t="shared" si="5"/>
        <v>Budget Year +2 2020/21</v>
      </c>
      <c r="H7" s="182" t="str">
        <f t="shared" si="5"/>
        <v>Budget Year +2 2021/22</v>
      </c>
      <c r="I7" s="182" t="str">
        <f t="shared" si="5"/>
        <v>Budget Year +2 2022/23</v>
      </c>
      <c r="J7" s="182" t="str">
        <f t="shared" si="5"/>
        <v>Budget Year +2 2023/24</v>
      </c>
      <c r="K7" s="182" t="str">
        <f t="shared" si="5"/>
        <v>Budget Year +2 2024/25</v>
      </c>
      <c r="L7" s="182" t="str">
        <f t="shared" si="5"/>
        <v>Budget Year +2 2025/26</v>
      </c>
      <c r="M7" s="182" t="str">
        <f t="shared" si="5"/>
        <v>Budget Year +2 2026/27</v>
      </c>
      <c r="N7" s="182" t="str">
        <f t="shared" si="5"/>
        <v>Budget Year +2 2027/28</v>
      </c>
      <c r="O7" s="182" t="str">
        <f t="shared" si="5"/>
        <v>Budget Year +2 2028/29</v>
      </c>
      <c r="R7" s="1" t="s">
        <v>915</v>
      </c>
      <c r="T7" s="1" t="s">
        <v>926</v>
      </c>
      <c r="U7" s="1" t="s">
        <v>932</v>
      </c>
    </row>
    <row r="8" spans="1:22" ht="20.25" customHeight="1" x14ac:dyDescent="0.25">
      <c r="A8" s="183" t="s">
        <v>26</v>
      </c>
      <c r="R8" s="1" t="s">
        <v>916</v>
      </c>
      <c r="T8" s="1" t="s">
        <v>927</v>
      </c>
      <c r="U8" s="1" t="s">
        <v>717</v>
      </c>
    </row>
    <row r="9" spans="1:22" x14ac:dyDescent="0.2">
      <c r="R9" s="1" t="s">
        <v>917</v>
      </c>
    </row>
    <row r="10" spans="1:22" x14ac:dyDescent="0.2">
      <c r="R10" s="1" t="s">
        <v>918</v>
      </c>
    </row>
    <row r="11" spans="1:22" x14ac:dyDescent="0.2">
      <c r="R11" s="1" t="s">
        <v>919</v>
      </c>
    </row>
    <row r="12" spans="1:22" x14ac:dyDescent="0.2">
      <c r="R12" s="1" t="s">
        <v>920</v>
      </c>
    </row>
    <row r="26" spans="1:3" x14ac:dyDescent="0.2">
      <c r="A26" s="1" t="s">
        <v>163</v>
      </c>
      <c r="B26" s="1">
        <v>114</v>
      </c>
    </row>
    <row r="27" spans="1:3" x14ac:dyDescent="0.2">
      <c r="A27" s="1" t="s">
        <v>164</v>
      </c>
      <c r="B27" s="1" t="str">
        <f>INDEX(B28:B311,B26,1)</f>
        <v>KZN282 uMhlathuze</v>
      </c>
    </row>
    <row r="28" spans="1:3" ht="12.75" x14ac:dyDescent="0.2">
      <c r="B28" t="s">
        <v>165</v>
      </c>
      <c r="C28" s="1" t="s">
        <v>166</v>
      </c>
    </row>
    <row r="29" spans="1:3" ht="12.75" x14ac:dyDescent="0.2">
      <c r="B29" s="285" t="s">
        <v>974</v>
      </c>
      <c r="C29" s="285" t="s">
        <v>1236</v>
      </c>
    </row>
    <row r="30" spans="1:3" ht="12.75" x14ac:dyDescent="0.2">
      <c r="B30" s="285" t="s">
        <v>975</v>
      </c>
      <c r="C30" s="286" t="s">
        <v>1236</v>
      </c>
    </row>
    <row r="31" spans="1:3" ht="12.75" x14ac:dyDescent="0.2">
      <c r="B31" s="285" t="s">
        <v>1237</v>
      </c>
      <c r="C31" s="285" t="s">
        <v>1236</v>
      </c>
    </row>
    <row r="32" spans="1:3" ht="12.75" x14ac:dyDescent="0.2">
      <c r="B32" s="285" t="s">
        <v>201</v>
      </c>
      <c r="C32" s="285" t="s">
        <v>1236</v>
      </c>
    </row>
    <row r="33" spans="2:3" ht="12.75" x14ac:dyDescent="0.2">
      <c r="B33" s="285" t="s">
        <v>202</v>
      </c>
      <c r="C33" s="285" t="s">
        <v>1236</v>
      </c>
    </row>
    <row r="34" spans="2:3" ht="12.75" x14ac:dyDescent="0.2">
      <c r="B34" s="285" t="s">
        <v>203</v>
      </c>
      <c r="C34" s="285" t="s">
        <v>1236</v>
      </c>
    </row>
    <row r="35" spans="2:3" ht="12.75" x14ac:dyDescent="0.2">
      <c r="B35" s="285" t="s">
        <v>204</v>
      </c>
      <c r="C35" s="285" t="s">
        <v>1236</v>
      </c>
    </row>
    <row r="36" spans="2:3" ht="12.75" x14ac:dyDescent="0.2">
      <c r="B36" s="285" t="s">
        <v>205</v>
      </c>
      <c r="C36" s="286" t="s">
        <v>1236</v>
      </c>
    </row>
    <row r="37" spans="2:3" ht="12.75" x14ac:dyDescent="0.2">
      <c r="B37" s="285" t="s">
        <v>901</v>
      </c>
      <c r="C37" s="285" t="s">
        <v>1236</v>
      </c>
    </row>
    <row r="38" spans="2:3" ht="12.75" x14ac:dyDescent="0.2">
      <c r="B38" s="285" t="s">
        <v>1009</v>
      </c>
      <c r="C38" s="285" t="s">
        <v>1236</v>
      </c>
    </row>
    <row r="39" spans="2:3" ht="12.75" x14ac:dyDescent="0.2">
      <c r="B39" s="285" t="s">
        <v>206</v>
      </c>
      <c r="C39" s="285" t="s">
        <v>1236</v>
      </c>
    </row>
    <row r="40" spans="2:3" ht="12.75" x14ac:dyDescent="0.2">
      <c r="B40" s="285" t="s">
        <v>207</v>
      </c>
      <c r="C40" t="s">
        <v>1236</v>
      </c>
    </row>
    <row r="41" spans="2:3" ht="12.75" x14ac:dyDescent="0.2">
      <c r="B41" s="285" t="s">
        <v>208</v>
      </c>
      <c r="C41" t="s">
        <v>1236</v>
      </c>
    </row>
    <row r="42" spans="2:3" ht="12.75" x14ac:dyDescent="0.2">
      <c r="B42" s="285" t="s">
        <v>209</v>
      </c>
      <c r="C42" t="s">
        <v>1236</v>
      </c>
    </row>
    <row r="43" spans="2:3" ht="12.75" x14ac:dyDescent="0.2">
      <c r="B43" s="285" t="s">
        <v>210</v>
      </c>
      <c r="C43" t="s">
        <v>1236</v>
      </c>
    </row>
    <row r="44" spans="2:3" ht="12.75" x14ac:dyDescent="0.2">
      <c r="B44" s="285" t="s">
        <v>1013</v>
      </c>
      <c r="C44" t="s">
        <v>1236</v>
      </c>
    </row>
    <row r="45" spans="2:3" ht="12.75" x14ac:dyDescent="0.2">
      <c r="B45" s="285" t="s">
        <v>168</v>
      </c>
      <c r="C45" t="s">
        <v>1236</v>
      </c>
    </row>
    <row r="46" spans="2:3" ht="12.75" x14ac:dyDescent="0.2">
      <c r="B46" s="285" t="s">
        <v>211</v>
      </c>
      <c r="C46" t="s">
        <v>1236</v>
      </c>
    </row>
    <row r="47" spans="2:3" ht="12.75" x14ac:dyDescent="0.2">
      <c r="B47" s="285" t="s">
        <v>212</v>
      </c>
      <c r="C47" t="s">
        <v>1236</v>
      </c>
    </row>
    <row r="48" spans="2:3" ht="12.75" x14ac:dyDescent="0.2">
      <c r="B48" s="285" t="s">
        <v>213</v>
      </c>
      <c r="C48" t="s">
        <v>1236</v>
      </c>
    </row>
    <row r="49" spans="2:3" ht="12.75" x14ac:dyDescent="0.2">
      <c r="B49" s="285" t="s">
        <v>214</v>
      </c>
      <c r="C49" t="s">
        <v>1236</v>
      </c>
    </row>
    <row r="50" spans="2:3" ht="12.75" x14ac:dyDescent="0.2">
      <c r="B50" s="285" t="s">
        <v>215</v>
      </c>
      <c r="C50" s="285" t="s">
        <v>1236</v>
      </c>
    </row>
    <row r="51" spans="2:3" ht="12.75" x14ac:dyDescent="0.2">
      <c r="B51" s="285" t="s">
        <v>1014</v>
      </c>
      <c r="C51" s="285" t="s">
        <v>1236</v>
      </c>
    </row>
    <row r="52" spans="2:3" ht="12.75" x14ac:dyDescent="0.2">
      <c r="B52" s="285" t="s">
        <v>169</v>
      </c>
      <c r="C52" s="285" t="s">
        <v>1236</v>
      </c>
    </row>
    <row r="53" spans="2:3" ht="12.75" x14ac:dyDescent="0.2">
      <c r="B53" s="285" t="s">
        <v>216</v>
      </c>
      <c r="C53" s="285" t="s">
        <v>1236</v>
      </c>
    </row>
    <row r="54" spans="2:3" ht="12.75" x14ac:dyDescent="0.2">
      <c r="B54" s="285" t="s">
        <v>217</v>
      </c>
      <c r="C54" s="285" t="s">
        <v>1236</v>
      </c>
    </row>
    <row r="55" spans="2:3" ht="12.75" x14ac:dyDescent="0.2">
      <c r="B55" s="285" t="s">
        <v>1015</v>
      </c>
      <c r="C55" s="285" t="s">
        <v>1236</v>
      </c>
    </row>
    <row r="56" spans="2:3" ht="12.75" x14ac:dyDescent="0.2">
      <c r="B56" s="285" t="s">
        <v>899</v>
      </c>
      <c r="C56" s="285" t="s">
        <v>1236</v>
      </c>
    </row>
    <row r="57" spans="2:3" ht="12.75" x14ac:dyDescent="0.2">
      <c r="B57" s="285" t="s">
        <v>218</v>
      </c>
      <c r="C57" t="s">
        <v>1236</v>
      </c>
    </row>
    <row r="58" spans="2:3" ht="12.75" x14ac:dyDescent="0.2">
      <c r="B58" s="285" t="s">
        <v>219</v>
      </c>
      <c r="C58" t="s">
        <v>1236</v>
      </c>
    </row>
    <row r="59" spans="2:3" ht="12.75" x14ac:dyDescent="0.2">
      <c r="B59" s="285" t="s">
        <v>220</v>
      </c>
      <c r="C59" s="285" t="s">
        <v>1236</v>
      </c>
    </row>
    <row r="60" spans="2:3" ht="12.75" x14ac:dyDescent="0.2">
      <c r="B60" s="285" t="s">
        <v>221</v>
      </c>
      <c r="C60" s="285" t="s">
        <v>1236</v>
      </c>
    </row>
    <row r="61" spans="2:3" ht="12.75" x14ac:dyDescent="0.2">
      <c r="B61" s="285" t="s">
        <v>222</v>
      </c>
      <c r="C61" s="285" t="s">
        <v>1236</v>
      </c>
    </row>
    <row r="62" spans="2:3" ht="12.75" x14ac:dyDescent="0.2">
      <c r="B62" s="285" t="s">
        <v>170</v>
      </c>
      <c r="C62" s="285" t="s">
        <v>1236</v>
      </c>
    </row>
    <row r="63" spans="2:3" ht="12.75" x14ac:dyDescent="0.2">
      <c r="B63" s="285" t="s">
        <v>223</v>
      </c>
      <c r="C63" t="s">
        <v>1236</v>
      </c>
    </row>
    <row r="64" spans="2:3" ht="12.75" x14ac:dyDescent="0.2">
      <c r="B64" s="285" t="s">
        <v>224</v>
      </c>
      <c r="C64" s="285" t="s">
        <v>1236</v>
      </c>
    </row>
    <row r="65" spans="2:3" ht="12.75" x14ac:dyDescent="0.2">
      <c r="B65" s="285" t="s">
        <v>1273</v>
      </c>
      <c r="C65" s="285" t="s">
        <v>1236</v>
      </c>
    </row>
    <row r="66" spans="2:3" ht="12.75" x14ac:dyDescent="0.2">
      <c r="B66" s="285" t="s">
        <v>969</v>
      </c>
      <c r="C66" s="285" t="s">
        <v>1236</v>
      </c>
    </row>
    <row r="67" spans="2:3" ht="12.75" x14ac:dyDescent="0.2">
      <c r="B67" s="285" t="s">
        <v>196</v>
      </c>
      <c r="C67" s="285" t="s">
        <v>1236</v>
      </c>
    </row>
    <row r="68" spans="2:3" ht="12.75" x14ac:dyDescent="0.2">
      <c r="B68" s="285" t="s">
        <v>976</v>
      </c>
      <c r="C68" s="285" t="s">
        <v>1238</v>
      </c>
    </row>
    <row r="69" spans="2:3" ht="12.75" x14ac:dyDescent="0.2">
      <c r="B69" s="285" t="s">
        <v>225</v>
      </c>
      <c r="C69" s="285" t="s">
        <v>1238</v>
      </c>
    </row>
    <row r="70" spans="2:3" ht="12.75" x14ac:dyDescent="0.2">
      <c r="B70" s="285" t="s">
        <v>226</v>
      </c>
      <c r="C70" s="285" t="s">
        <v>1238</v>
      </c>
    </row>
    <row r="71" spans="2:3" ht="12.75" x14ac:dyDescent="0.2">
      <c r="B71" s="285" t="s">
        <v>227</v>
      </c>
      <c r="C71" s="285" t="s">
        <v>1238</v>
      </c>
    </row>
    <row r="72" spans="2:3" ht="12.75" x14ac:dyDescent="0.2">
      <c r="B72" s="285" t="s">
        <v>171</v>
      </c>
      <c r="C72" s="285" t="s">
        <v>1238</v>
      </c>
    </row>
    <row r="73" spans="2:3" ht="12.75" x14ac:dyDescent="0.2">
      <c r="B73" s="285" t="s">
        <v>228</v>
      </c>
      <c r="C73" s="285" t="s">
        <v>1238</v>
      </c>
    </row>
    <row r="74" spans="2:3" ht="12.75" x14ac:dyDescent="0.2">
      <c r="B74" s="285" t="s">
        <v>229</v>
      </c>
      <c r="C74" s="285" t="s">
        <v>1238</v>
      </c>
    </row>
    <row r="75" spans="2:3" ht="12.75" x14ac:dyDescent="0.2">
      <c r="B75" s="285" t="s">
        <v>230</v>
      </c>
      <c r="C75" s="285" t="s">
        <v>1238</v>
      </c>
    </row>
    <row r="76" spans="2:3" ht="12.75" x14ac:dyDescent="0.2">
      <c r="B76" s="285" t="s">
        <v>231</v>
      </c>
      <c r="C76" s="285" t="s">
        <v>1238</v>
      </c>
    </row>
    <row r="77" spans="2:3" ht="12.75" x14ac:dyDescent="0.2">
      <c r="B77" s="285" t="s">
        <v>232</v>
      </c>
      <c r="C77" s="285" t="s">
        <v>1238</v>
      </c>
    </row>
    <row r="78" spans="2:3" ht="12.75" x14ac:dyDescent="0.2">
      <c r="B78" s="285" t="s">
        <v>172</v>
      </c>
      <c r="C78" s="285" t="s">
        <v>1238</v>
      </c>
    </row>
    <row r="79" spans="2:3" ht="12.75" x14ac:dyDescent="0.2">
      <c r="B79" s="285" t="s">
        <v>233</v>
      </c>
      <c r="C79" s="285" t="s">
        <v>1238</v>
      </c>
    </row>
    <row r="80" spans="2:3" ht="12.75" x14ac:dyDescent="0.2">
      <c r="B80" s="285" t="s">
        <v>234</v>
      </c>
      <c r="C80" s="285" t="s">
        <v>1238</v>
      </c>
    </row>
    <row r="81" spans="2:3" ht="12.75" x14ac:dyDescent="0.2">
      <c r="B81" s="285" t="s">
        <v>235</v>
      </c>
      <c r="C81" s="285" t="s">
        <v>1238</v>
      </c>
    </row>
    <row r="82" spans="2:3" ht="12.75" x14ac:dyDescent="0.2">
      <c r="B82" s="285" t="s">
        <v>236</v>
      </c>
      <c r="C82" s="285" t="s">
        <v>1238</v>
      </c>
    </row>
    <row r="83" spans="2:3" ht="12.75" x14ac:dyDescent="0.2">
      <c r="B83" s="285" t="s">
        <v>237</v>
      </c>
      <c r="C83" s="285" t="s">
        <v>1238</v>
      </c>
    </row>
    <row r="84" spans="2:3" ht="12.75" x14ac:dyDescent="0.2">
      <c r="B84" s="285" t="s">
        <v>970</v>
      </c>
      <c r="C84" s="285" t="s">
        <v>1238</v>
      </c>
    </row>
    <row r="85" spans="2:3" ht="12.75" x14ac:dyDescent="0.2">
      <c r="B85" s="285" t="s">
        <v>173</v>
      </c>
      <c r="C85" s="285" t="s">
        <v>1238</v>
      </c>
    </row>
    <row r="86" spans="2:3" ht="12.75" x14ac:dyDescent="0.2">
      <c r="B86" s="285" t="s">
        <v>238</v>
      </c>
      <c r="C86" s="285" t="s">
        <v>1238</v>
      </c>
    </row>
    <row r="87" spans="2:3" ht="12.75" x14ac:dyDescent="0.2">
      <c r="B87" s="285" t="s">
        <v>239</v>
      </c>
      <c r="C87" s="285" t="s">
        <v>1238</v>
      </c>
    </row>
    <row r="88" spans="2:3" ht="12.75" x14ac:dyDescent="0.2">
      <c r="B88" s="285" t="s">
        <v>240</v>
      </c>
      <c r="C88" s="285" t="s">
        <v>1238</v>
      </c>
    </row>
    <row r="89" spans="2:3" ht="12.75" x14ac:dyDescent="0.2">
      <c r="B89" s="285" t="s">
        <v>241</v>
      </c>
      <c r="C89" s="285" t="s">
        <v>1238</v>
      </c>
    </row>
    <row r="90" spans="2:3" ht="12.75" x14ac:dyDescent="0.2">
      <c r="B90" s="285" t="s">
        <v>174</v>
      </c>
      <c r="C90" s="285" t="s">
        <v>1238</v>
      </c>
    </row>
    <row r="91" spans="2:3" ht="12.75" x14ac:dyDescent="0.2">
      <c r="B91" s="285" t="s">
        <v>1239</v>
      </c>
      <c r="C91" s="285" t="s">
        <v>1240</v>
      </c>
    </row>
    <row r="92" spans="2:3" ht="12.75" x14ac:dyDescent="0.2">
      <c r="B92" s="285" t="s">
        <v>977</v>
      </c>
      <c r="C92" s="285" t="s">
        <v>1240</v>
      </c>
    </row>
    <row r="93" spans="2:3" ht="12.75" x14ac:dyDescent="0.2">
      <c r="B93" s="285" t="s">
        <v>978</v>
      </c>
      <c r="C93" s="285" t="s">
        <v>1240</v>
      </c>
    </row>
    <row r="94" spans="2:3" ht="12.75" x14ac:dyDescent="0.2">
      <c r="B94" s="285" t="s">
        <v>242</v>
      </c>
      <c r="C94" s="285" t="s">
        <v>1240</v>
      </c>
    </row>
    <row r="95" spans="2:3" ht="12.75" x14ac:dyDescent="0.2">
      <c r="B95" s="285" t="s">
        <v>243</v>
      </c>
      <c r="C95" s="285" t="s">
        <v>1240</v>
      </c>
    </row>
    <row r="96" spans="2:3" ht="12.75" x14ac:dyDescent="0.2">
      <c r="B96" s="285" t="s">
        <v>244</v>
      </c>
      <c r="C96" s="285" t="s">
        <v>1240</v>
      </c>
    </row>
    <row r="97" spans="2:3" ht="12.75" x14ac:dyDescent="0.2">
      <c r="B97" s="285" t="s">
        <v>195</v>
      </c>
      <c r="C97" s="285" t="s">
        <v>1240</v>
      </c>
    </row>
    <row r="98" spans="2:3" ht="12.75" x14ac:dyDescent="0.2">
      <c r="B98" s="285" t="s">
        <v>245</v>
      </c>
      <c r="C98" s="285" t="s">
        <v>1240</v>
      </c>
    </row>
    <row r="99" spans="2:3" ht="12.75" x14ac:dyDescent="0.2">
      <c r="B99" s="285" t="s">
        <v>902</v>
      </c>
      <c r="C99" s="285" t="s">
        <v>1240</v>
      </c>
    </row>
    <row r="100" spans="2:3" ht="12.75" x14ac:dyDescent="0.2">
      <c r="B100" s="285" t="s">
        <v>1241</v>
      </c>
      <c r="C100" s="285" t="s">
        <v>1240</v>
      </c>
    </row>
    <row r="101" spans="2:3" ht="12.75" x14ac:dyDescent="0.2">
      <c r="B101" s="285" t="s">
        <v>197</v>
      </c>
      <c r="C101" s="285" t="s">
        <v>1240</v>
      </c>
    </row>
    <row r="102" spans="2:3" ht="12.75" x14ac:dyDescent="0.2">
      <c r="B102" s="285" t="s">
        <v>979</v>
      </c>
      <c r="C102" s="285" t="s">
        <v>1242</v>
      </c>
    </row>
    <row r="103" spans="2:3" ht="12.75" x14ac:dyDescent="0.2">
      <c r="B103" s="285" t="s">
        <v>246</v>
      </c>
      <c r="C103" s="285" t="s">
        <v>1242</v>
      </c>
    </row>
    <row r="104" spans="2:3" ht="12.75" x14ac:dyDescent="0.2">
      <c r="B104" s="285" t="s">
        <v>247</v>
      </c>
      <c r="C104" s="285" t="s">
        <v>1242</v>
      </c>
    </row>
    <row r="105" spans="2:3" ht="12.75" x14ac:dyDescent="0.2">
      <c r="B105" s="285" t="s">
        <v>248</v>
      </c>
      <c r="C105" s="285" t="s">
        <v>1242</v>
      </c>
    </row>
    <row r="106" spans="2:3" ht="12.75" x14ac:dyDescent="0.2">
      <c r="B106" s="285" t="s">
        <v>1021</v>
      </c>
      <c r="C106" s="285" t="s">
        <v>1242</v>
      </c>
    </row>
    <row r="107" spans="2:3" ht="12.75" x14ac:dyDescent="0.2">
      <c r="B107" s="285" t="s">
        <v>175</v>
      </c>
      <c r="C107" s="285" t="s">
        <v>1242</v>
      </c>
    </row>
    <row r="108" spans="2:3" ht="12.75" x14ac:dyDescent="0.2">
      <c r="B108" s="285" t="s">
        <v>249</v>
      </c>
      <c r="C108" s="285" t="s">
        <v>1242</v>
      </c>
    </row>
    <row r="109" spans="2:3" ht="12.75" x14ac:dyDescent="0.2">
      <c r="B109" s="285" t="s">
        <v>250</v>
      </c>
      <c r="C109" s="285" t="s">
        <v>1242</v>
      </c>
    </row>
    <row r="110" spans="2:3" ht="12.75" x14ac:dyDescent="0.2">
      <c r="B110" s="285" t="s">
        <v>251</v>
      </c>
      <c r="C110" s="285" t="s">
        <v>1242</v>
      </c>
    </row>
    <row r="111" spans="2:3" ht="12.75" x14ac:dyDescent="0.2">
      <c r="B111" s="285" t="s">
        <v>252</v>
      </c>
      <c r="C111" s="285" t="s">
        <v>1242</v>
      </c>
    </row>
    <row r="112" spans="2:3" ht="12.75" x14ac:dyDescent="0.2">
      <c r="B112" s="285" t="s">
        <v>253</v>
      </c>
      <c r="C112" s="285" t="s">
        <v>1242</v>
      </c>
    </row>
    <row r="113" spans="2:3" ht="12.75" x14ac:dyDescent="0.2">
      <c r="B113" s="285" t="s">
        <v>254</v>
      </c>
      <c r="C113" s="285" t="s">
        <v>1242</v>
      </c>
    </row>
    <row r="114" spans="2:3" ht="12.75" x14ac:dyDescent="0.2">
      <c r="B114" s="285" t="s">
        <v>255</v>
      </c>
      <c r="C114" s="285" t="s">
        <v>1242</v>
      </c>
    </row>
    <row r="115" spans="2:3" ht="12.75" x14ac:dyDescent="0.2">
      <c r="B115" s="285" t="s">
        <v>176</v>
      </c>
      <c r="C115" s="285" t="s">
        <v>1242</v>
      </c>
    </row>
    <row r="116" spans="2:3" ht="12.75" x14ac:dyDescent="0.2">
      <c r="B116" s="285" t="s">
        <v>256</v>
      </c>
      <c r="C116" s="285" t="s">
        <v>1242</v>
      </c>
    </row>
    <row r="117" spans="2:3" ht="12.75" x14ac:dyDescent="0.2">
      <c r="B117" s="285" t="s">
        <v>1016</v>
      </c>
      <c r="C117" s="285" t="s">
        <v>1242</v>
      </c>
    </row>
    <row r="118" spans="2:3" ht="12.75" x14ac:dyDescent="0.2">
      <c r="B118" s="285" t="s">
        <v>1017</v>
      </c>
      <c r="C118" s="285" t="s">
        <v>1242</v>
      </c>
    </row>
    <row r="119" spans="2:3" ht="12.75" x14ac:dyDescent="0.2">
      <c r="B119" s="285" t="s">
        <v>177</v>
      </c>
      <c r="C119" s="285" t="s">
        <v>1242</v>
      </c>
    </row>
    <row r="120" spans="2:3" ht="12.75" x14ac:dyDescent="0.2">
      <c r="B120" s="285" t="s">
        <v>257</v>
      </c>
      <c r="C120" s="285" t="s">
        <v>1242</v>
      </c>
    </row>
    <row r="121" spans="2:3" ht="12.75" x14ac:dyDescent="0.2">
      <c r="B121" s="285" t="s">
        <v>258</v>
      </c>
      <c r="C121" s="285" t="s">
        <v>1242</v>
      </c>
    </row>
    <row r="122" spans="2:3" ht="12.75" x14ac:dyDescent="0.2">
      <c r="B122" s="285" t="s">
        <v>259</v>
      </c>
      <c r="C122" s="285" t="s">
        <v>1242</v>
      </c>
    </row>
    <row r="123" spans="2:3" ht="12.75" x14ac:dyDescent="0.2">
      <c r="B123" s="285" t="s">
        <v>260</v>
      </c>
      <c r="C123" s="285" t="s">
        <v>1242</v>
      </c>
    </row>
    <row r="124" spans="2:3" ht="12.75" x14ac:dyDescent="0.2">
      <c r="B124" s="285" t="s">
        <v>178</v>
      </c>
      <c r="C124" s="285" t="s">
        <v>1242</v>
      </c>
    </row>
    <row r="125" spans="2:3" ht="12.75" x14ac:dyDescent="0.2">
      <c r="B125" s="285" t="s">
        <v>261</v>
      </c>
      <c r="C125" s="285" t="s">
        <v>1242</v>
      </c>
    </row>
    <row r="126" spans="2:3" ht="12.75" x14ac:dyDescent="0.2">
      <c r="B126" s="285" t="s">
        <v>1243</v>
      </c>
      <c r="C126" s="285" t="s">
        <v>1242</v>
      </c>
    </row>
    <row r="127" spans="2:3" ht="12.75" x14ac:dyDescent="0.2">
      <c r="B127" s="285" t="s">
        <v>262</v>
      </c>
      <c r="C127" s="285" t="s">
        <v>1242</v>
      </c>
    </row>
    <row r="128" spans="2:3" ht="12.75" x14ac:dyDescent="0.2">
      <c r="B128" s="285" t="s">
        <v>179</v>
      </c>
      <c r="C128" s="285" t="s">
        <v>1242</v>
      </c>
    </row>
    <row r="129" spans="2:3" ht="12.75" x14ac:dyDescent="0.2">
      <c r="B129" s="285" t="s">
        <v>263</v>
      </c>
      <c r="C129" s="285" t="s">
        <v>1242</v>
      </c>
    </row>
    <row r="130" spans="2:3" ht="12.75" x14ac:dyDescent="0.2">
      <c r="B130" s="285" t="s">
        <v>264</v>
      </c>
      <c r="C130" s="285" t="s">
        <v>1242</v>
      </c>
    </row>
    <row r="131" spans="2:3" ht="12.75" x14ac:dyDescent="0.2">
      <c r="B131" s="285" t="s">
        <v>265</v>
      </c>
      <c r="C131" s="285" t="s">
        <v>1242</v>
      </c>
    </row>
    <row r="132" spans="2:3" ht="12.75" x14ac:dyDescent="0.2">
      <c r="B132" s="285" t="s">
        <v>266</v>
      </c>
      <c r="C132" s="285" t="s">
        <v>1242</v>
      </c>
    </row>
    <row r="133" spans="2:3" ht="12.75" x14ac:dyDescent="0.2">
      <c r="B133" s="285" t="s">
        <v>267</v>
      </c>
      <c r="C133" s="285" t="s">
        <v>1242</v>
      </c>
    </row>
    <row r="134" spans="2:3" ht="12.75" x14ac:dyDescent="0.2">
      <c r="B134" s="285" t="s">
        <v>180</v>
      </c>
      <c r="C134" t="s">
        <v>1242</v>
      </c>
    </row>
    <row r="135" spans="2:3" ht="12.75" x14ac:dyDescent="0.2">
      <c r="B135" s="285" t="s">
        <v>268</v>
      </c>
      <c r="C135" t="s">
        <v>1242</v>
      </c>
    </row>
    <row r="136" spans="2:3" ht="12.75" x14ac:dyDescent="0.2">
      <c r="B136" s="285" t="s">
        <v>269</v>
      </c>
      <c r="C136" t="s">
        <v>1242</v>
      </c>
    </row>
    <row r="137" spans="2:3" ht="12.75" x14ac:dyDescent="0.2">
      <c r="B137" s="285" t="s">
        <v>270</v>
      </c>
      <c r="C137" t="s">
        <v>1242</v>
      </c>
    </row>
    <row r="138" spans="2:3" ht="12.75" x14ac:dyDescent="0.2">
      <c r="B138" s="285" t="s">
        <v>1244</v>
      </c>
      <c r="C138" t="s">
        <v>1242</v>
      </c>
    </row>
    <row r="139" spans="2:3" ht="12.75" x14ac:dyDescent="0.2">
      <c r="B139" s="285" t="s">
        <v>181</v>
      </c>
      <c r="C139" t="s">
        <v>1242</v>
      </c>
    </row>
    <row r="140" spans="2:3" ht="12.75" x14ac:dyDescent="0.2">
      <c r="B140" s="285" t="s">
        <v>903</v>
      </c>
      <c r="C140" t="s">
        <v>1242</v>
      </c>
    </row>
    <row r="141" spans="2:3" ht="12.75" x14ac:dyDescent="0.2">
      <c r="B141" s="285" t="s">
        <v>271</v>
      </c>
      <c r="C141" t="s">
        <v>1242</v>
      </c>
    </row>
    <row r="142" spans="2:3" ht="12.75" x14ac:dyDescent="0.2">
      <c r="B142" s="285" t="s">
        <v>904</v>
      </c>
      <c r="C142" t="s">
        <v>1242</v>
      </c>
    </row>
    <row r="143" spans="2:3" ht="12.75" x14ac:dyDescent="0.2">
      <c r="B143" s="285" t="s">
        <v>272</v>
      </c>
      <c r="C143" t="s">
        <v>1242</v>
      </c>
    </row>
    <row r="144" spans="2:3" ht="12.75" x14ac:dyDescent="0.2">
      <c r="B144" s="285" t="s">
        <v>273</v>
      </c>
      <c r="C144" t="s">
        <v>1242</v>
      </c>
    </row>
    <row r="145" spans="2:3" ht="12.75" x14ac:dyDescent="0.2">
      <c r="B145" s="285" t="s">
        <v>1018</v>
      </c>
      <c r="C145" t="s">
        <v>1242</v>
      </c>
    </row>
    <row r="146" spans="2:3" ht="12.75" x14ac:dyDescent="0.2">
      <c r="B146" s="285" t="s">
        <v>274</v>
      </c>
      <c r="C146" t="s">
        <v>1242</v>
      </c>
    </row>
    <row r="147" spans="2:3" ht="12.75" x14ac:dyDescent="0.2">
      <c r="B147" s="285" t="s">
        <v>275</v>
      </c>
      <c r="C147" t="s">
        <v>1242</v>
      </c>
    </row>
    <row r="148" spans="2:3" ht="12.75" x14ac:dyDescent="0.2">
      <c r="B148" s="285" t="s">
        <v>276</v>
      </c>
      <c r="C148" t="s">
        <v>1242</v>
      </c>
    </row>
    <row r="149" spans="2:3" ht="12.75" x14ac:dyDescent="0.2">
      <c r="B149" s="285" t="s">
        <v>277</v>
      </c>
      <c r="C149" t="s">
        <v>1242</v>
      </c>
    </row>
    <row r="150" spans="2:3" ht="12.75" x14ac:dyDescent="0.2">
      <c r="B150" s="285" t="s">
        <v>182</v>
      </c>
      <c r="C150" t="s">
        <v>1242</v>
      </c>
    </row>
    <row r="151" spans="2:3" ht="12.75" x14ac:dyDescent="0.2">
      <c r="B151" s="285" t="s">
        <v>278</v>
      </c>
      <c r="C151" t="s">
        <v>1242</v>
      </c>
    </row>
    <row r="152" spans="2:3" ht="12.75" x14ac:dyDescent="0.2">
      <c r="B152" s="285" t="s">
        <v>279</v>
      </c>
      <c r="C152" t="s">
        <v>1242</v>
      </c>
    </row>
    <row r="153" spans="2:3" ht="12.75" x14ac:dyDescent="0.2">
      <c r="B153" s="285" t="s">
        <v>280</v>
      </c>
      <c r="C153" t="s">
        <v>1242</v>
      </c>
    </row>
    <row r="154" spans="2:3" ht="12.75" x14ac:dyDescent="0.2">
      <c r="B154" s="285" t="s">
        <v>1019</v>
      </c>
      <c r="C154" t="s">
        <v>1242</v>
      </c>
    </row>
    <row r="155" spans="2:3" ht="12.75" x14ac:dyDescent="0.2">
      <c r="B155" s="285" t="s">
        <v>1010</v>
      </c>
      <c r="C155" t="s">
        <v>1242</v>
      </c>
    </row>
    <row r="156" spans="2:3" ht="12.75" x14ac:dyDescent="0.2">
      <c r="B156" s="285" t="s">
        <v>281</v>
      </c>
      <c r="C156" t="s">
        <v>1245</v>
      </c>
    </row>
    <row r="157" spans="2:3" ht="12.75" x14ac:dyDescent="0.2">
      <c r="B157" s="285" t="s">
        <v>282</v>
      </c>
      <c r="C157" t="s">
        <v>1245</v>
      </c>
    </row>
    <row r="158" spans="2:3" ht="12.75" x14ac:dyDescent="0.2">
      <c r="B158" s="285" t="s">
        <v>283</v>
      </c>
      <c r="C158" t="s">
        <v>1245</v>
      </c>
    </row>
    <row r="159" spans="2:3" ht="12.75" x14ac:dyDescent="0.2">
      <c r="B159" s="285" t="s">
        <v>284</v>
      </c>
      <c r="C159" t="s">
        <v>1245</v>
      </c>
    </row>
    <row r="160" spans="2:3" ht="12.75" x14ac:dyDescent="0.2">
      <c r="B160" s="285" t="s">
        <v>285</v>
      </c>
      <c r="C160" t="s">
        <v>1245</v>
      </c>
    </row>
    <row r="161" spans="2:3" ht="12.75" x14ac:dyDescent="0.2">
      <c r="B161" s="285" t="s">
        <v>187</v>
      </c>
      <c r="C161" t="s">
        <v>1245</v>
      </c>
    </row>
    <row r="162" spans="2:3" ht="12.75" x14ac:dyDescent="0.2">
      <c r="B162" s="285" t="s">
        <v>286</v>
      </c>
      <c r="C162" t="s">
        <v>1245</v>
      </c>
    </row>
    <row r="163" spans="2:3" ht="12.75" x14ac:dyDescent="0.2">
      <c r="B163" s="285" t="s">
        <v>287</v>
      </c>
      <c r="C163" t="s">
        <v>1245</v>
      </c>
    </row>
    <row r="164" spans="2:3" ht="12.75" x14ac:dyDescent="0.2">
      <c r="B164" s="285" t="s">
        <v>288</v>
      </c>
      <c r="C164" t="s">
        <v>1245</v>
      </c>
    </row>
    <row r="165" spans="2:3" ht="12.75" x14ac:dyDescent="0.2">
      <c r="B165" s="285" t="s">
        <v>1246</v>
      </c>
      <c r="C165" t="s">
        <v>1245</v>
      </c>
    </row>
    <row r="166" spans="2:3" ht="12.75" x14ac:dyDescent="0.2">
      <c r="B166" s="285" t="s">
        <v>188</v>
      </c>
      <c r="C166" t="s">
        <v>1245</v>
      </c>
    </row>
    <row r="167" spans="2:3" ht="12.75" x14ac:dyDescent="0.2">
      <c r="B167" s="285" t="s">
        <v>289</v>
      </c>
      <c r="C167" t="s">
        <v>1245</v>
      </c>
    </row>
    <row r="168" spans="2:3" ht="12.75" x14ac:dyDescent="0.2">
      <c r="B168" s="285" t="s">
        <v>290</v>
      </c>
      <c r="C168" t="s">
        <v>1245</v>
      </c>
    </row>
    <row r="169" spans="2:3" ht="12.75" x14ac:dyDescent="0.2">
      <c r="B169" s="285" t="s">
        <v>291</v>
      </c>
      <c r="C169" t="s">
        <v>1245</v>
      </c>
    </row>
    <row r="170" spans="2:3" ht="12.75" x14ac:dyDescent="0.2">
      <c r="B170" s="285" t="s">
        <v>292</v>
      </c>
      <c r="C170" t="s">
        <v>1245</v>
      </c>
    </row>
    <row r="171" spans="2:3" ht="12.75" x14ac:dyDescent="0.2">
      <c r="B171" s="285" t="s">
        <v>189</v>
      </c>
      <c r="C171" t="s">
        <v>1245</v>
      </c>
    </row>
    <row r="172" spans="2:3" ht="12.75" x14ac:dyDescent="0.2">
      <c r="B172" s="285" t="s">
        <v>293</v>
      </c>
      <c r="C172" t="s">
        <v>1245</v>
      </c>
    </row>
    <row r="173" spans="2:3" ht="12.75" x14ac:dyDescent="0.2">
      <c r="B173" s="285" t="s">
        <v>294</v>
      </c>
      <c r="C173" t="s">
        <v>1245</v>
      </c>
    </row>
    <row r="174" spans="2:3" ht="12.75" x14ac:dyDescent="0.2">
      <c r="B174" s="285" t="s">
        <v>295</v>
      </c>
      <c r="C174" t="s">
        <v>1245</v>
      </c>
    </row>
    <row r="175" spans="2:3" ht="12.75" x14ac:dyDescent="0.2">
      <c r="B175" s="285" t="s">
        <v>296</v>
      </c>
      <c r="C175" t="s">
        <v>1245</v>
      </c>
    </row>
    <row r="176" spans="2:3" ht="12.75" x14ac:dyDescent="0.2">
      <c r="B176" s="285" t="s">
        <v>1247</v>
      </c>
      <c r="C176" t="s">
        <v>1245</v>
      </c>
    </row>
    <row r="177" spans="2:3" ht="12.75" x14ac:dyDescent="0.2">
      <c r="B177" s="285" t="s">
        <v>190</v>
      </c>
      <c r="C177" t="s">
        <v>1245</v>
      </c>
    </row>
    <row r="178" spans="2:3" ht="12.75" x14ac:dyDescent="0.2">
      <c r="B178" s="285" t="s">
        <v>905</v>
      </c>
      <c r="C178" s="285" t="s">
        <v>1245</v>
      </c>
    </row>
    <row r="179" spans="2:3" ht="12.75" x14ac:dyDescent="0.2">
      <c r="B179" s="285" t="s">
        <v>297</v>
      </c>
      <c r="C179" s="285" t="s">
        <v>1245</v>
      </c>
    </row>
    <row r="180" spans="2:3" ht="12.75" x14ac:dyDescent="0.2">
      <c r="B180" s="285" t="s">
        <v>906</v>
      </c>
      <c r="C180" s="285" t="s">
        <v>1245</v>
      </c>
    </row>
    <row r="181" spans="2:3" ht="12.75" x14ac:dyDescent="0.2">
      <c r="B181" s="285" t="s">
        <v>1248</v>
      </c>
      <c r="C181" s="285" t="s">
        <v>1245</v>
      </c>
    </row>
    <row r="182" spans="2:3" ht="12.75" x14ac:dyDescent="0.2">
      <c r="B182" s="285" t="s">
        <v>967</v>
      </c>
      <c r="C182" s="285" t="s">
        <v>1245</v>
      </c>
    </row>
    <row r="183" spans="2:3" ht="12.75" x14ac:dyDescent="0.2">
      <c r="B183" s="285" t="s">
        <v>298</v>
      </c>
      <c r="C183" s="285" t="s">
        <v>1249</v>
      </c>
    </row>
    <row r="184" spans="2:3" ht="12.75" x14ac:dyDescent="0.2">
      <c r="B184" s="285" t="s">
        <v>299</v>
      </c>
      <c r="C184" s="285" t="s">
        <v>1249</v>
      </c>
    </row>
    <row r="185" spans="2:3" ht="12.75" x14ac:dyDescent="0.2">
      <c r="B185" s="285" t="s">
        <v>300</v>
      </c>
      <c r="C185" s="285" t="s">
        <v>1249</v>
      </c>
    </row>
    <row r="186" spans="2:3" ht="12.75" x14ac:dyDescent="0.2">
      <c r="B186" s="285" t="s">
        <v>907</v>
      </c>
      <c r="C186" s="285" t="s">
        <v>1249</v>
      </c>
    </row>
    <row r="187" spans="2:3" ht="12.75" x14ac:dyDescent="0.2">
      <c r="B187" s="285" t="s">
        <v>301</v>
      </c>
      <c r="C187" s="285" t="s">
        <v>1249</v>
      </c>
    </row>
    <row r="188" spans="2:3" ht="12.75" x14ac:dyDescent="0.2">
      <c r="B188" s="285" t="s">
        <v>302</v>
      </c>
      <c r="C188" s="285" t="s">
        <v>1249</v>
      </c>
    </row>
    <row r="189" spans="2:3" ht="12.75" x14ac:dyDescent="0.2">
      <c r="B189" s="285" t="s">
        <v>303</v>
      </c>
      <c r="C189" s="285" t="s">
        <v>1249</v>
      </c>
    </row>
    <row r="190" spans="2:3" ht="12.75" x14ac:dyDescent="0.2">
      <c r="B190" s="285" t="s">
        <v>184</v>
      </c>
      <c r="C190" s="285" t="s">
        <v>1249</v>
      </c>
    </row>
    <row r="191" spans="2:3" ht="12.75" x14ac:dyDescent="0.2">
      <c r="B191" s="285" t="s">
        <v>908</v>
      </c>
      <c r="C191" s="285" t="s">
        <v>1249</v>
      </c>
    </row>
    <row r="192" spans="2:3" ht="12.75" x14ac:dyDescent="0.2">
      <c r="B192" s="285" t="s">
        <v>971</v>
      </c>
      <c r="C192" s="285" t="s">
        <v>1249</v>
      </c>
    </row>
    <row r="193" spans="2:3" ht="12.75" x14ac:dyDescent="0.2">
      <c r="B193" s="285" t="s">
        <v>304</v>
      </c>
      <c r="C193" s="285" t="s">
        <v>1249</v>
      </c>
    </row>
    <row r="194" spans="2:3" ht="12.75" x14ac:dyDescent="0.2">
      <c r="B194" s="285" t="s">
        <v>305</v>
      </c>
      <c r="C194" s="285" t="s">
        <v>1249</v>
      </c>
    </row>
    <row r="195" spans="2:3" ht="12.75" x14ac:dyDescent="0.2">
      <c r="B195" s="285" t="s">
        <v>972</v>
      </c>
      <c r="C195" s="285" t="s">
        <v>1249</v>
      </c>
    </row>
    <row r="196" spans="2:3" ht="12.75" x14ac:dyDescent="0.2">
      <c r="B196" s="285" t="s">
        <v>306</v>
      </c>
      <c r="C196" s="285" t="s">
        <v>1249</v>
      </c>
    </row>
    <row r="197" spans="2:3" ht="12.75" x14ac:dyDescent="0.2">
      <c r="B197" s="285" t="s">
        <v>185</v>
      </c>
      <c r="C197" s="285" t="s">
        <v>1249</v>
      </c>
    </row>
    <row r="198" spans="2:3" ht="12.75" x14ac:dyDescent="0.2">
      <c r="B198" s="285" t="s">
        <v>307</v>
      </c>
      <c r="C198" s="285" t="s">
        <v>1249</v>
      </c>
    </row>
    <row r="199" spans="2:3" ht="12.75" x14ac:dyDescent="0.2">
      <c r="B199" s="285" t="s">
        <v>308</v>
      </c>
      <c r="C199" s="285" t="s">
        <v>1249</v>
      </c>
    </row>
    <row r="200" spans="2:3" ht="12.75" x14ac:dyDescent="0.2">
      <c r="B200" s="285" t="s">
        <v>309</v>
      </c>
      <c r="C200" s="285" t="s">
        <v>1249</v>
      </c>
    </row>
    <row r="201" spans="2:3" ht="12.75" x14ac:dyDescent="0.2">
      <c r="B201" s="285" t="s">
        <v>1020</v>
      </c>
      <c r="C201" s="285" t="s">
        <v>1249</v>
      </c>
    </row>
    <row r="202" spans="2:3" ht="12.75" x14ac:dyDescent="0.2">
      <c r="B202" s="285" t="s">
        <v>186</v>
      </c>
      <c r="C202" s="285" t="s">
        <v>1249</v>
      </c>
    </row>
    <row r="203" spans="2:3" ht="12.75" x14ac:dyDescent="0.2">
      <c r="B203" s="285" t="s">
        <v>909</v>
      </c>
      <c r="C203" s="285" t="s">
        <v>1250</v>
      </c>
    </row>
    <row r="204" spans="2:3" ht="12.75" x14ac:dyDescent="0.2">
      <c r="B204" s="285" t="s">
        <v>346</v>
      </c>
      <c r="C204" s="285" t="s">
        <v>1250</v>
      </c>
    </row>
    <row r="205" spans="2:3" ht="12.75" x14ac:dyDescent="0.2">
      <c r="B205" s="285" t="s">
        <v>347</v>
      </c>
      <c r="C205" s="285" t="s">
        <v>1250</v>
      </c>
    </row>
    <row r="206" spans="2:3" ht="12.75" x14ac:dyDescent="0.2">
      <c r="B206" s="285" t="s">
        <v>900</v>
      </c>
      <c r="C206" s="285" t="s">
        <v>1250</v>
      </c>
    </row>
    <row r="207" spans="2:3" ht="12.75" x14ac:dyDescent="0.2">
      <c r="B207" s="285" t="s">
        <v>310</v>
      </c>
      <c r="C207" s="285" t="s">
        <v>1250</v>
      </c>
    </row>
    <row r="208" spans="2:3" ht="12.75" x14ac:dyDescent="0.2">
      <c r="B208" s="285" t="s">
        <v>311</v>
      </c>
      <c r="C208" s="285" t="s">
        <v>1250</v>
      </c>
    </row>
    <row r="209" spans="2:3" ht="12.75" x14ac:dyDescent="0.2">
      <c r="B209" s="285" t="s">
        <v>312</v>
      </c>
      <c r="C209" s="285" t="s">
        <v>1250</v>
      </c>
    </row>
    <row r="210" spans="2:3" ht="12.75" x14ac:dyDescent="0.2">
      <c r="B210" s="285" t="s">
        <v>313</v>
      </c>
      <c r="C210" s="285" t="s">
        <v>1250</v>
      </c>
    </row>
    <row r="211" spans="2:3" ht="12.75" x14ac:dyDescent="0.2">
      <c r="B211" s="285" t="s">
        <v>314</v>
      </c>
      <c r="C211" s="285" t="s">
        <v>1250</v>
      </c>
    </row>
    <row r="212" spans="2:3" ht="12.75" x14ac:dyDescent="0.2">
      <c r="B212" s="285" t="s">
        <v>315</v>
      </c>
      <c r="C212" s="285" t="s">
        <v>1250</v>
      </c>
    </row>
    <row r="213" spans="2:3" ht="12.75" x14ac:dyDescent="0.2">
      <c r="B213" s="285" t="s">
        <v>199</v>
      </c>
      <c r="C213" s="285" t="s">
        <v>1250</v>
      </c>
    </row>
    <row r="214" spans="2:3" ht="12.75" x14ac:dyDescent="0.2">
      <c r="B214" s="285" t="s">
        <v>316</v>
      </c>
      <c r="C214" s="285" t="s">
        <v>1250</v>
      </c>
    </row>
    <row r="215" spans="2:3" ht="12.75" x14ac:dyDescent="0.2">
      <c r="B215" s="285" t="s">
        <v>317</v>
      </c>
      <c r="C215" s="285" t="s">
        <v>1250</v>
      </c>
    </row>
    <row r="216" spans="2:3" ht="12.75" x14ac:dyDescent="0.2">
      <c r="B216" s="285" t="s">
        <v>318</v>
      </c>
      <c r="C216" s="285" t="s">
        <v>1250</v>
      </c>
    </row>
    <row r="217" spans="2:3" ht="12.75" x14ac:dyDescent="0.2">
      <c r="B217" s="285" t="s">
        <v>333</v>
      </c>
      <c r="C217" s="285" t="s">
        <v>1250</v>
      </c>
    </row>
    <row r="218" spans="2:3" ht="12.75" x14ac:dyDescent="0.2">
      <c r="B218" s="285" t="s">
        <v>334</v>
      </c>
      <c r="C218" s="285" t="s">
        <v>1250</v>
      </c>
    </row>
    <row r="219" spans="2:3" ht="12.75" x14ac:dyDescent="0.2">
      <c r="B219" s="285" t="s">
        <v>335</v>
      </c>
      <c r="C219" s="285" t="s">
        <v>1250</v>
      </c>
    </row>
    <row r="220" spans="2:3" ht="12.75" x14ac:dyDescent="0.2">
      <c r="B220" s="285" t="s">
        <v>336</v>
      </c>
      <c r="C220" s="285" t="s">
        <v>1250</v>
      </c>
    </row>
    <row r="221" spans="2:3" ht="12.75" x14ac:dyDescent="0.2">
      <c r="B221" s="285" t="s">
        <v>337</v>
      </c>
      <c r="C221" s="285" t="s">
        <v>1250</v>
      </c>
    </row>
    <row r="222" spans="2:3" ht="12.75" x14ac:dyDescent="0.2">
      <c r="B222" s="285" t="s">
        <v>968</v>
      </c>
      <c r="C222" s="285" t="s">
        <v>1250</v>
      </c>
    </row>
    <row r="223" spans="2:3" ht="12.75" x14ac:dyDescent="0.2">
      <c r="B223" s="285" t="s">
        <v>338</v>
      </c>
      <c r="C223" s="285" t="s">
        <v>1250</v>
      </c>
    </row>
    <row r="224" spans="2:3" ht="12.75" x14ac:dyDescent="0.2">
      <c r="B224" s="285" t="s">
        <v>339</v>
      </c>
      <c r="C224" s="285" t="s">
        <v>1250</v>
      </c>
    </row>
    <row r="225" spans="2:3" ht="12.75" x14ac:dyDescent="0.2">
      <c r="B225" s="285" t="s">
        <v>340</v>
      </c>
      <c r="C225" s="285" t="s">
        <v>1250</v>
      </c>
    </row>
    <row r="226" spans="2:3" ht="12.75" x14ac:dyDescent="0.2">
      <c r="B226" s="285" t="s">
        <v>341</v>
      </c>
      <c r="C226" s="285" t="s">
        <v>1250</v>
      </c>
    </row>
    <row r="227" spans="2:3" ht="12.75" x14ac:dyDescent="0.2">
      <c r="B227" s="285" t="s">
        <v>1251</v>
      </c>
      <c r="C227" s="285" t="s">
        <v>1250</v>
      </c>
    </row>
    <row r="228" spans="2:3" ht="12.75" x14ac:dyDescent="0.2">
      <c r="B228" s="285" t="s">
        <v>1011</v>
      </c>
      <c r="C228" s="285" t="s">
        <v>1250</v>
      </c>
    </row>
    <row r="229" spans="2:3" ht="12.75" x14ac:dyDescent="0.2">
      <c r="B229" s="285" t="s">
        <v>342</v>
      </c>
      <c r="C229" s="285" t="s">
        <v>1250</v>
      </c>
    </row>
    <row r="230" spans="2:3" ht="12.75" x14ac:dyDescent="0.2">
      <c r="B230" s="285" t="s">
        <v>343</v>
      </c>
      <c r="C230" s="285" t="s">
        <v>1250</v>
      </c>
    </row>
    <row r="231" spans="2:3" ht="12.75" x14ac:dyDescent="0.2">
      <c r="B231" s="285" t="s">
        <v>344</v>
      </c>
      <c r="C231" s="285" t="s">
        <v>1250</v>
      </c>
    </row>
    <row r="232" spans="2:3" ht="12.75" x14ac:dyDescent="0.2">
      <c r="B232" s="285" t="s">
        <v>345</v>
      </c>
      <c r="C232" s="285" t="s">
        <v>1250</v>
      </c>
    </row>
    <row r="233" spans="2:3" ht="12.75" x14ac:dyDescent="0.2">
      <c r="B233" s="285" t="s">
        <v>200</v>
      </c>
      <c r="C233" s="285" t="s">
        <v>1250</v>
      </c>
    </row>
    <row r="234" spans="2:3" ht="12.75" x14ac:dyDescent="0.2">
      <c r="B234" s="285" t="s">
        <v>348</v>
      </c>
      <c r="C234" s="285" t="s">
        <v>1252</v>
      </c>
    </row>
    <row r="235" spans="2:3" ht="12.75" x14ac:dyDescent="0.2">
      <c r="B235" s="285" t="s">
        <v>349</v>
      </c>
      <c r="C235" s="285" t="s">
        <v>1252</v>
      </c>
    </row>
    <row r="236" spans="2:3" ht="12.75" x14ac:dyDescent="0.2">
      <c r="B236" s="285" t="s">
        <v>350</v>
      </c>
      <c r="C236" s="285" t="s">
        <v>1252</v>
      </c>
    </row>
    <row r="237" spans="2:3" ht="12.75" x14ac:dyDescent="0.2">
      <c r="B237" s="285" t="s">
        <v>351</v>
      </c>
      <c r="C237" s="285" t="s">
        <v>1252</v>
      </c>
    </row>
    <row r="238" spans="2:3" ht="12.75" x14ac:dyDescent="0.2">
      <c r="B238" s="285" t="s">
        <v>352</v>
      </c>
      <c r="C238" s="285" t="s">
        <v>1252</v>
      </c>
    </row>
    <row r="239" spans="2:3" ht="12.75" x14ac:dyDescent="0.2">
      <c r="B239" s="285" t="s">
        <v>191</v>
      </c>
      <c r="C239" s="285" t="s">
        <v>1252</v>
      </c>
    </row>
    <row r="240" spans="2:3" ht="12.75" x14ac:dyDescent="0.2">
      <c r="B240" s="285" t="s">
        <v>353</v>
      </c>
      <c r="C240" s="285" t="s">
        <v>1252</v>
      </c>
    </row>
    <row r="241" spans="2:3" ht="12.75" x14ac:dyDescent="0.2">
      <c r="B241" s="285" t="s">
        <v>354</v>
      </c>
      <c r="C241" s="285" t="s">
        <v>1252</v>
      </c>
    </row>
    <row r="242" spans="2:3" ht="12.75" x14ac:dyDescent="0.2">
      <c r="B242" s="285" t="s">
        <v>355</v>
      </c>
      <c r="C242" s="285" t="s">
        <v>1252</v>
      </c>
    </row>
    <row r="243" spans="2:3" ht="12.75" x14ac:dyDescent="0.2">
      <c r="B243" s="285" t="s">
        <v>356</v>
      </c>
      <c r="C243" s="285" t="s">
        <v>1252</v>
      </c>
    </row>
    <row r="244" spans="2:3" ht="12.75" x14ac:dyDescent="0.2">
      <c r="B244" s="285" t="s">
        <v>357</v>
      </c>
      <c r="C244" s="285" t="s">
        <v>1252</v>
      </c>
    </row>
    <row r="245" spans="2:3" ht="12.75" x14ac:dyDescent="0.2">
      <c r="B245" s="285" t="s">
        <v>192</v>
      </c>
      <c r="C245" s="285" t="s">
        <v>1252</v>
      </c>
    </row>
    <row r="246" spans="2:3" ht="12.75" x14ac:dyDescent="0.2">
      <c r="B246" s="285" t="s">
        <v>358</v>
      </c>
      <c r="C246" s="285" t="s">
        <v>1252</v>
      </c>
    </row>
    <row r="247" spans="2:3" ht="12.75" x14ac:dyDescent="0.2">
      <c r="B247" s="285" t="s">
        <v>359</v>
      </c>
      <c r="C247" s="285" t="s">
        <v>1252</v>
      </c>
    </row>
    <row r="248" spans="2:3" ht="12.75" x14ac:dyDescent="0.2">
      <c r="B248" s="285" t="s">
        <v>360</v>
      </c>
      <c r="C248" s="285" t="s">
        <v>1252</v>
      </c>
    </row>
    <row r="249" spans="2:3" ht="12.75" x14ac:dyDescent="0.2">
      <c r="B249" s="285" t="s">
        <v>361</v>
      </c>
      <c r="C249" s="285" t="s">
        <v>1252</v>
      </c>
    </row>
    <row r="250" spans="2:3" ht="12.75" x14ac:dyDescent="0.2">
      <c r="B250" s="285" t="s">
        <v>1012</v>
      </c>
      <c r="C250" s="285" t="s">
        <v>1252</v>
      </c>
    </row>
    <row r="251" spans="2:3" ht="12.75" x14ac:dyDescent="0.2">
      <c r="B251" s="285" t="s">
        <v>193</v>
      </c>
      <c r="C251" s="285" t="s">
        <v>1252</v>
      </c>
    </row>
    <row r="252" spans="2:3" ht="12.75" x14ac:dyDescent="0.2">
      <c r="B252" s="285" t="s">
        <v>362</v>
      </c>
      <c r="C252" s="285" t="s">
        <v>1252</v>
      </c>
    </row>
    <row r="253" spans="2:3" ht="12.75" x14ac:dyDescent="0.2">
      <c r="B253" s="285" t="s">
        <v>363</v>
      </c>
      <c r="C253" s="285" t="s">
        <v>1252</v>
      </c>
    </row>
    <row r="254" spans="2:3" ht="12.75" x14ac:dyDescent="0.2">
      <c r="B254" s="285" t="s">
        <v>1253</v>
      </c>
      <c r="C254" s="285" t="s">
        <v>1252</v>
      </c>
    </row>
    <row r="255" spans="2:3" ht="12.75" x14ac:dyDescent="0.2">
      <c r="B255" s="285" t="s">
        <v>194</v>
      </c>
      <c r="C255" s="285" t="s">
        <v>1252</v>
      </c>
    </row>
    <row r="256" spans="2:3" ht="12.75" x14ac:dyDescent="0.2">
      <c r="B256" s="285" t="s">
        <v>980</v>
      </c>
      <c r="C256" s="285" t="s">
        <v>1254</v>
      </c>
    </row>
    <row r="257" spans="2:3" ht="12.75" x14ac:dyDescent="0.2">
      <c r="B257" s="285" t="s">
        <v>364</v>
      </c>
      <c r="C257" s="285" t="s">
        <v>1254</v>
      </c>
    </row>
    <row r="258" spans="2:3" ht="12.75" x14ac:dyDescent="0.2">
      <c r="B258" s="285" t="s">
        <v>365</v>
      </c>
      <c r="C258" s="285" t="s">
        <v>1254</v>
      </c>
    </row>
    <row r="259" spans="2:3" ht="12.75" x14ac:dyDescent="0.2">
      <c r="B259" s="285" t="s">
        <v>366</v>
      </c>
      <c r="C259" s="285" t="s">
        <v>1254</v>
      </c>
    </row>
    <row r="260" spans="2:3" ht="12.75" x14ac:dyDescent="0.2">
      <c r="B260" s="285" t="s">
        <v>367</v>
      </c>
      <c r="C260" s="285" t="s">
        <v>1254</v>
      </c>
    </row>
    <row r="261" spans="2:3" ht="12.75" x14ac:dyDescent="0.2">
      <c r="B261" s="285" t="s">
        <v>368</v>
      </c>
      <c r="C261" s="285" t="s">
        <v>1254</v>
      </c>
    </row>
    <row r="262" spans="2:3" ht="12.75" x14ac:dyDescent="0.2">
      <c r="B262" s="285" t="s">
        <v>167</v>
      </c>
      <c r="C262" s="285" t="s">
        <v>1254</v>
      </c>
    </row>
    <row r="263" spans="2:3" ht="12.75" x14ac:dyDescent="0.2">
      <c r="B263" s="285" t="s">
        <v>369</v>
      </c>
      <c r="C263" s="285" t="s">
        <v>1254</v>
      </c>
    </row>
    <row r="264" spans="2:3" ht="12.75" x14ac:dyDescent="0.2">
      <c r="B264" s="285" t="s">
        <v>370</v>
      </c>
      <c r="C264" s="285" t="s">
        <v>1254</v>
      </c>
    </row>
    <row r="265" spans="2:3" ht="12.75" x14ac:dyDescent="0.2">
      <c r="B265" s="285" t="s">
        <v>371</v>
      </c>
      <c r="C265" s="285" t="s">
        <v>1254</v>
      </c>
    </row>
    <row r="266" spans="2:3" ht="12.75" x14ac:dyDescent="0.2">
      <c r="B266" s="285" t="s">
        <v>372</v>
      </c>
      <c r="C266" s="285" t="s">
        <v>1254</v>
      </c>
    </row>
    <row r="267" spans="2:3" ht="12.75" x14ac:dyDescent="0.2">
      <c r="B267" s="285" t="s">
        <v>910</v>
      </c>
      <c r="C267" s="285" t="s">
        <v>1254</v>
      </c>
    </row>
    <row r="268" spans="2:3" ht="12.75" x14ac:dyDescent="0.2">
      <c r="B268" s="285" t="s">
        <v>966</v>
      </c>
      <c r="C268" s="285" t="s">
        <v>1254</v>
      </c>
    </row>
    <row r="269" spans="2:3" ht="12.75" x14ac:dyDescent="0.2">
      <c r="B269" s="285" t="s">
        <v>373</v>
      </c>
      <c r="C269" s="285" t="s">
        <v>1254</v>
      </c>
    </row>
    <row r="270" spans="2:3" ht="12.75" x14ac:dyDescent="0.2">
      <c r="B270" s="285" t="s">
        <v>374</v>
      </c>
      <c r="C270" s="285" t="s">
        <v>1254</v>
      </c>
    </row>
    <row r="271" spans="2:3" ht="12.75" x14ac:dyDescent="0.2">
      <c r="B271" s="285" t="s">
        <v>375</v>
      </c>
      <c r="C271" s="285" t="s">
        <v>1254</v>
      </c>
    </row>
    <row r="272" spans="2:3" ht="12.75" x14ac:dyDescent="0.2">
      <c r="B272" s="285" t="s">
        <v>376</v>
      </c>
      <c r="C272" s="285" t="s">
        <v>1254</v>
      </c>
    </row>
    <row r="273" spans="2:3" ht="12.75" x14ac:dyDescent="0.2">
      <c r="B273" s="285" t="s">
        <v>183</v>
      </c>
      <c r="C273" s="285" t="s">
        <v>1254</v>
      </c>
    </row>
    <row r="274" spans="2:3" ht="12.75" x14ac:dyDescent="0.2">
      <c r="B274" s="285" t="s">
        <v>377</v>
      </c>
      <c r="C274" s="285" t="s">
        <v>1254</v>
      </c>
    </row>
    <row r="275" spans="2:3" ht="12.75" x14ac:dyDescent="0.2">
      <c r="B275" s="285" t="s">
        <v>378</v>
      </c>
      <c r="C275" s="285" t="s">
        <v>1254</v>
      </c>
    </row>
    <row r="276" spans="2:3" ht="12.75" x14ac:dyDescent="0.2">
      <c r="B276" s="285" t="s">
        <v>379</v>
      </c>
      <c r="C276" s="285" t="s">
        <v>1254</v>
      </c>
    </row>
    <row r="277" spans="2:3" ht="12.75" x14ac:dyDescent="0.2">
      <c r="B277" s="285" t="s">
        <v>380</v>
      </c>
      <c r="C277" s="285" t="s">
        <v>1254</v>
      </c>
    </row>
    <row r="278" spans="2:3" ht="12.75" x14ac:dyDescent="0.2">
      <c r="B278" s="285" t="s">
        <v>381</v>
      </c>
      <c r="C278" s="285" t="s">
        <v>1254</v>
      </c>
    </row>
    <row r="279" spans="2:3" ht="12.75" x14ac:dyDescent="0.2">
      <c r="B279" s="285" t="s">
        <v>382</v>
      </c>
      <c r="C279" s="285" t="s">
        <v>1254</v>
      </c>
    </row>
    <row r="280" spans="2:3" ht="12.75" x14ac:dyDescent="0.2">
      <c r="B280" s="285" t="s">
        <v>383</v>
      </c>
      <c r="C280" s="285" t="s">
        <v>1254</v>
      </c>
    </row>
    <row r="281" spans="2:3" ht="12.75" x14ac:dyDescent="0.2">
      <c r="B281" s="285" t="s">
        <v>1255</v>
      </c>
      <c r="C281" s="285" t="s">
        <v>1254</v>
      </c>
    </row>
    <row r="282" spans="2:3" ht="12.75" x14ac:dyDescent="0.2">
      <c r="B282" s="285" t="s">
        <v>384</v>
      </c>
      <c r="C282" s="285" t="s">
        <v>1254</v>
      </c>
    </row>
    <row r="283" spans="2:3" ht="12.75" x14ac:dyDescent="0.2">
      <c r="B283" s="285" t="s">
        <v>385</v>
      </c>
      <c r="C283" s="285" t="s">
        <v>1254</v>
      </c>
    </row>
    <row r="284" spans="2:3" ht="12.75" x14ac:dyDescent="0.2">
      <c r="B284" s="285" t="s">
        <v>386</v>
      </c>
      <c r="C284" s="285" t="s">
        <v>1254</v>
      </c>
    </row>
    <row r="285" spans="2:3" ht="12.75" x14ac:dyDescent="0.2">
      <c r="B285" s="285" t="s">
        <v>198</v>
      </c>
      <c r="C285" s="285" t="s">
        <v>1254</v>
      </c>
    </row>
    <row r="286" spans="2:3" ht="12.75" x14ac:dyDescent="0.2">
      <c r="B286" s="282"/>
      <c r="C286" s="282"/>
    </row>
    <row r="287" spans="2:3" ht="12.75" x14ac:dyDescent="0.2">
      <c r="B287" s="282"/>
      <c r="C287" s="282"/>
    </row>
    <row r="288" spans="2:3" ht="12.75" x14ac:dyDescent="0.2">
      <c r="B288" s="282"/>
      <c r="C288" s="282"/>
    </row>
    <row r="289" spans="2:3" ht="12.75" x14ac:dyDescent="0.2">
      <c r="B289" s="282"/>
      <c r="C289" s="282"/>
    </row>
    <row r="290" spans="2:3" ht="12.75" x14ac:dyDescent="0.2">
      <c r="B290" s="282"/>
      <c r="C290" s="282"/>
    </row>
    <row r="291" spans="2:3" ht="12.75" x14ac:dyDescent="0.2">
      <c r="B291" s="282"/>
      <c r="C291" s="282"/>
    </row>
    <row r="292" spans="2:3" ht="12.75" x14ac:dyDescent="0.2">
      <c r="B292" s="282"/>
      <c r="C292" s="282"/>
    </row>
    <row r="293" spans="2:3" ht="12.75" x14ac:dyDescent="0.2">
      <c r="B293" s="282"/>
      <c r="C293" s="282"/>
    </row>
    <row r="294" spans="2:3" ht="12.75" x14ac:dyDescent="0.2">
      <c r="B294" s="282"/>
      <c r="C294" s="282"/>
    </row>
    <row r="295" spans="2:3" ht="12.75" x14ac:dyDescent="0.2">
      <c r="B295" s="282"/>
      <c r="C295" s="282"/>
    </row>
    <row r="296" spans="2:3" ht="12.75" x14ac:dyDescent="0.2">
      <c r="B296" s="282"/>
      <c r="C296" s="282"/>
    </row>
    <row r="297" spans="2:3" ht="12.75" x14ac:dyDescent="0.2">
      <c r="B297" s="282"/>
      <c r="C297" s="282"/>
    </row>
    <row r="298" spans="2:3" ht="12.75" x14ac:dyDescent="0.2">
      <c r="B298" s="282"/>
      <c r="C298" s="282"/>
    </row>
    <row r="299" spans="2:3" ht="12.75" x14ac:dyDescent="0.2">
      <c r="B299" s="282"/>
      <c r="C299" s="282"/>
    </row>
    <row r="300" spans="2:3" ht="12.75" x14ac:dyDescent="0.2">
      <c r="B300" s="282"/>
      <c r="C300" s="282"/>
    </row>
    <row r="301" spans="2:3" ht="12.75" x14ac:dyDescent="0.2">
      <c r="B301" s="282"/>
      <c r="C301" s="282"/>
    </row>
    <row r="302" spans="2:3" ht="12.75" x14ac:dyDescent="0.2">
      <c r="B302" s="282"/>
      <c r="C302" s="282"/>
    </row>
    <row r="303" spans="2:3" ht="12.75" x14ac:dyDescent="0.2">
      <c r="B303" s="282"/>
      <c r="C303" s="282"/>
    </row>
    <row r="304" spans="2:3" ht="12.75" x14ac:dyDescent="0.2">
      <c r="B304" s="282"/>
      <c r="C304" s="282"/>
    </row>
    <row r="305" spans="2:3" ht="12.75" x14ac:dyDescent="0.2">
      <c r="B305" s="282"/>
      <c r="C305" s="282"/>
    </row>
    <row r="306" spans="2:3" ht="12.75" x14ac:dyDescent="0.2">
      <c r="B306" s="282"/>
      <c r="C306" s="282"/>
    </row>
    <row r="307" spans="2:3" x14ac:dyDescent="0.2">
      <c r="C307" s="191">
        <f>COUNTA(C29:C306)</f>
        <v>257</v>
      </c>
    </row>
  </sheetData>
  <phoneticPr fontId="2" type="noConversion"/>
  <pageMargins left="0.75" right="0.75" top="1" bottom="1" header="0.5" footer="0.5"/>
  <pageSetup orientation="portrait" r:id="rId1"/>
  <headerFooter alignWithMargins="0"/>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K211"/>
  <sheetViews>
    <sheetView showGridLines="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34.28515625" style="21" customWidth="1"/>
    <col min="2" max="2" width="3.28515625" style="47" customWidth="1"/>
    <col min="3" max="8" width="8.7109375" style="21" customWidth="1"/>
    <col min="9" max="9" width="6.7109375" style="21" customWidth="1"/>
    <col min="10" max="10" width="8" style="21" bestFit="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x14ac:dyDescent="0.25">
      <c r="A1" s="851" t="str">
        <f>muni&amp; " - "&amp;S71Sc&amp; " - "&amp;Head57</f>
        <v>KZN282 uMhlathuze - Supporting Table SC13c Monthly Budget Statement - expenditure on repairs and maintenance by asset class - M10 April</v>
      </c>
      <c r="B1" s="851"/>
      <c r="C1" s="851"/>
      <c r="D1" s="851"/>
      <c r="E1" s="851"/>
      <c r="F1" s="851"/>
      <c r="G1" s="851"/>
      <c r="H1" s="851"/>
      <c r="I1" s="851"/>
      <c r="J1" s="851"/>
      <c r="K1" s="851"/>
    </row>
    <row r="2" spans="1:11" x14ac:dyDescent="0.25">
      <c r="A2" s="837" t="str">
        <f>desc</f>
        <v>Description</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47"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519" t="s">
        <v>615</v>
      </c>
      <c r="B4" s="141">
        <v>1</v>
      </c>
      <c r="C4" s="520"/>
      <c r="D4" s="549"/>
      <c r="E4" s="522"/>
      <c r="F4" s="523"/>
      <c r="G4" s="523"/>
      <c r="H4" s="523"/>
      <c r="I4" s="523"/>
      <c r="J4" s="524" t="s">
        <v>528</v>
      </c>
      <c r="K4" s="525"/>
    </row>
    <row r="5" spans="1:11" ht="12.75" customHeight="1" x14ac:dyDescent="0.25">
      <c r="A5" s="92" t="s">
        <v>814</v>
      </c>
      <c r="B5" s="90"/>
      <c r="C5" s="74"/>
      <c r="D5" s="148"/>
      <c r="E5" s="34"/>
      <c r="F5" s="34"/>
      <c r="G5" s="34"/>
      <c r="H5" s="34"/>
      <c r="I5" s="34"/>
      <c r="J5" s="189"/>
      <c r="K5" s="78"/>
    </row>
    <row r="6" spans="1:11" ht="5.0999999999999996" customHeight="1" x14ac:dyDescent="0.25">
      <c r="A6" s="29"/>
      <c r="B6" s="90"/>
      <c r="C6" s="74"/>
      <c r="D6" s="148"/>
      <c r="E6" s="34"/>
      <c r="F6" s="34"/>
      <c r="G6" s="34"/>
      <c r="H6" s="34"/>
      <c r="I6" s="34"/>
      <c r="J6" s="189"/>
      <c r="K6" s="78"/>
    </row>
    <row r="7" spans="1:11" ht="12.75" customHeight="1" x14ac:dyDescent="0.25">
      <c r="A7" s="29" t="s">
        <v>592</v>
      </c>
      <c r="B7" s="90"/>
      <c r="C7" s="69">
        <f t="shared" ref="C7:H7" si="0">C8+C13+C17+C27+C38+C45+C53+C63+C69</f>
        <v>193303793.12</v>
      </c>
      <c r="D7" s="39">
        <f t="shared" si="0"/>
        <v>407679500</v>
      </c>
      <c r="E7" s="38">
        <f t="shared" si="0"/>
        <v>400383600</v>
      </c>
      <c r="F7" s="38">
        <f t="shared" si="0"/>
        <v>6884023.2199999988</v>
      </c>
      <c r="G7" s="38">
        <f t="shared" si="0"/>
        <v>232460428.49000001</v>
      </c>
      <c r="H7" s="38">
        <f t="shared" si="0"/>
        <v>301257056.25</v>
      </c>
      <c r="I7" s="65">
        <f t="shared" ref="I7:I14" si="1">H7-G7</f>
        <v>68796627.75999999</v>
      </c>
      <c r="J7" s="605">
        <f t="shared" ref="J7:J70" si="2">IF(I7=0,"",I7/H7)</f>
        <v>0.22836519952883258</v>
      </c>
      <c r="K7" s="96">
        <f>K8+K13+K17+K27+K38+K45+K53+K63+K69</f>
        <v>400383600</v>
      </c>
    </row>
    <row r="8" spans="1:11" x14ac:dyDescent="0.25">
      <c r="A8" s="30" t="s">
        <v>1119</v>
      </c>
      <c r="B8" s="90"/>
      <c r="C8" s="596">
        <f t="shared" ref="C8:H8" si="3">SUM(C9:C12)</f>
        <v>54905699.749999993</v>
      </c>
      <c r="D8" s="743">
        <f t="shared" si="3"/>
        <v>92543200</v>
      </c>
      <c r="E8" s="328">
        <f t="shared" si="3"/>
        <v>88604700</v>
      </c>
      <c r="F8" s="736">
        <f t="shared" si="3"/>
        <v>4616579.84</v>
      </c>
      <c r="G8" s="328">
        <f t="shared" si="3"/>
        <v>55207356.600000001</v>
      </c>
      <c r="H8" s="736">
        <f t="shared" si="3"/>
        <v>68871067.659999996</v>
      </c>
      <c r="I8" s="328">
        <f t="shared" si="1"/>
        <v>13663711.059999995</v>
      </c>
      <c r="J8" s="732">
        <f>IF(H8=0,"",I8/H8)</f>
        <v>0.19839551678586531</v>
      </c>
      <c r="K8" s="733">
        <f>SUM(K9:K12)</f>
        <v>88604700</v>
      </c>
    </row>
    <row r="9" spans="1:11" x14ac:dyDescent="0.25">
      <c r="A9" s="606" t="s">
        <v>150</v>
      </c>
      <c r="B9" s="90"/>
      <c r="C9" s="744">
        <f>SC13CQ!B6</f>
        <v>50068516.119999997</v>
      </c>
      <c r="D9" s="744">
        <f>SC13CQ!C6</f>
        <v>78336400</v>
      </c>
      <c r="E9" s="331">
        <f>SC13CQ!D6</f>
        <v>75603400</v>
      </c>
      <c r="F9" s="704">
        <f>SC13CQ!E6</f>
        <v>4314879.84</v>
      </c>
      <c r="G9" s="331">
        <f>SC13CQ!F6</f>
        <v>52098212.859999999</v>
      </c>
      <c r="H9" s="704">
        <f>SC13CQ!G6</f>
        <v>63425693.920000002</v>
      </c>
      <c r="I9" s="34">
        <f t="shared" si="1"/>
        <v>11327481.060000002</v>
      </c>
      <c r="J9" s="148">
        <f t="shared" ref="J9:J18" si="4">IF(H9=0,"",I9/H9)</f>
        <v>0.17859451524941239</v>
      </c>
      <c r="K9" s="367">
        <f>SC13CQ!J6</f>
        <v>75603400</v>
      </c>
    </row>
    <row r="10" spans="1:11" x14ac:dyDescent="0.25">
      <c r="A10" s="606" t="s">
        <v>1120</v>
      </c>
      <c r="B10" s="90"/>
      <c r="C10" s="744">
        <f>SC13CQ!B7</f>
        <v>854715.9</v>
      </c>
      <c r="D10" s="744">
        <f>SC13CQ!C7</f>
        <v>2558500</v>
      </c>
      <c r="E10" s="331">
        <f>SC13CQ!D7</f>
        <v>1572400</v>
      </c>
      <c r="F10" s="704">
        <f>SC13CQ!E7</f>
        <v>0</v>
      </c>
      <c r="G10" s="331">
        <f>SC13CQ!F7</f>
        <v>24800</v>
      </c>
      <c r="H10" s="704">
        <f>SC13CQ!G7</f>
        <v>681400</v>
      </c>
      <c r="I10" s="34">
        <f t="shared" si="1"/>
        <v>656600</v>
      </c>
      <c r="J10" s="148">
        <v>1</v>
      </c>
      <c r="K10" s="367">
        <f>SC13CQ!J7</f>
        <v>1572400</v>
      </c>
    </row>
    <row r="11" spans="1:11" x14ac:dyDescent="0.25">
      <c r="A11" s="606" t="s">
        <v>1121</v>
      </c>
      <c r="B11" s="90"/>
      <c r="C11" s="744">
        <f>SC13CQ!B8</f>
        <v>3982467.73</v>
      </c>
      <c r="D11" s="744">
        <f>SC13CQ!C8</f>
        <v>11648300</v>
      </c>
      <c r="E11" s="331">
        <f>SC13CQ!D8</f>
        <v>11428900</v>
      </c>
      <c r="F11" s="704">
        <f>SC13CQ!E8</f>
        <v>301700</v>
      </c>
      <c r="G11" s="331">
        <f>SC13CQ!F8</f>
        <v>3084343.74</v>
      </c>
      <c r="H11" s="704">
        <f>SC13CQ!G8</f>
        <v>4763973.74</v>
      </c>
      <c r="I11" s="34">
        <f t="shared" si="1"/>
        <v>1679630</v>
      </c>
      <c r="J11" s="148">
        <f t="shared" si="4"/>
        <v>0.35256911386753359</v>
      </c>
      <c r="K11" s="367">
        <f>SC13CQ!J8</f>
        <v>11428900</v>
      </c>
    </row>
    <row r="12" spans="1:11" x14ac:dyDescent="0.25">
      <c r="A12" s="606" t="s">
        <v>1122</v>
      </c>
      <c r="B12" s="90"/>
      <c r="C12" s="744">
        <f>SC13CQ!B9</f>
        <v>0</v>
      </c>
      <c r="D12" s="744">
        <f>SC13CQ!C9</f>
        <v>0</v>
      </c>
      <c r="E12" s="331">
        <f>SC13CQ!D9</f>
        <v>0</v>
      </c>
      <c r="F12" s="704">
        <f>SC13CQ!E9</f>
        <v>0</v>
      </c>
      <c r="G12" s="331">
        <f>SC13CQ!F9</f>
        <v>0</v>
      </c>
      <c r="H12" s="704">
        <f>SC13CQ!G9</f>
        <v>0</v>
      </c>
      <c r="I12" s="34">
        <f t="shared" si="1"/>
        <v>0</v>
      </c>
      <c r="J12" s="148" t="str">
        <f t="shared" si="4"/>
        <v/>
      </c>
      <c r="K12" s="367">
        <f>SC13CQ!J9</f>
        <v>0</v>
      </c>
    </row>
    <row r="13" spans="1:11" x14ac:dyDescent="0.25">
      <c r="A13" s="30" t="s">
        <v>1123</v>
      </c>
      <c r="B13" s="90"/>
      <c r="C13" s="74">
        <f>SUM(C14:C16)</f>
        <v>12631133.25</v>
      </c>
      <c r="D13" s="489">
        <f t="shared" ref="D13:H13" si="5">SUM(D14:D16)</f>
        <v>15064100</v>
      </c>
      <c r="E13" s="34">
        <f t="shared" si="5"/>
        <v>16110000</v>
      </c>
      <c r="F13" s="33">
        <f t="shared" si="5"/>
        <v>215000</v>
      </c>
      <c r="G13" s="34">
        <f t="shared" si="5"/>
        <v>14955393.93</v>
      </c>
      <c r="H13" s="33">
        <f t="shared" si="5"/>
        <v>17967008.93</v>
      </c>
      <c r="I13" s="34">
        <f t="shared" si="1"/>
        <v>3011615</v>
      </c>
      <c r="J13" s="148">
        <f t="shared" si="4"/>
        <v>0.16761916308570565</v>
      </c>
      <c r="K13" s="35">
        <f>SUM(K14:K16)</f>
        <v>16110000</v>
      </c>
    </row>
    <row r="14" spans="1:11" x14ac:dyDescent="0.25">
      <c r="A14" s="606" t="s">
        <v>1124</v>
      </c>
      <c r="B14" s="90"/>
      <c r="C14" s="744">
        <f>SC13CQ!B11</f>
        <v>8896577.1500000004</v>
      </c>
      <c r="D14" s="744">
        <f>SC13CQ!C11</f>
        <v>12438000</v>
      </c>
      <c r="E14" s="331">
        <f>SC13CQ!D11</f>
        <v>13869800</v>
      </c>
      <c r="F14" s="704">
        <f>SC13CQ!E11</f>
        <v>0</v>
      </c>
      <c r="G14" s="331">
        <f>SC13CQ!F11</f>
        <v>14388893.93</v>
      </c>
      <c r="H14" s="704">
        <f>SC13CQ!G11</f>
        <v>17048193.93</v>
      </c>
      <c r="I14" s="34">
        <f t="shared" si="1"/>
        <v>2659300</v>
      </c>
      <c r="J14" s="148">
        <f t="shared" si="4"/>
        <v>0.15598719787674306</v>
      </c>
      <c r="K14" s="367">
        <f>SC13CQ!J11</f>
        <v>13869800</v>
      </c>
    </row>
    <row r="15" spans="1:11" x14ac:dyDescent="0.25">
      <c r="A15" s="606" t="s">
        <v>1125</v>
      </c>
      <c r="B15" s="90"/>
      <c r="C15" s="744">
        <f>SC13CQ!B12</f>
        <v>3734556.1</v>
      </c>
      <c r="D15" s="744">
        <f>SC13CQ!C12</f>
        <v>2626100</v>
      </c>
      <c r="E15" s="331">
        <f>SC13CQ!D12</f>
        <v>2240200</v>
      </c>
      <c r="F15" s="704">
        <f>SC13CQ!E12</f>
        <v>215000</v>
      </c>
      <c r="G15" s="331">
        <f>SC13CQ!F12</f>
        <v>566500</v>
      </c>
      <c r="H15" s="704">
        <f>SC13CQ!G12</f>
        <v>918815</v>
      </c>
      <c r="I15" s="34">
        <f t="shared" ref="I15:I78" si="6">H15-G15</f>
        <v>352315</v>
      </c>
      <c r="J15" s="148">
        <f t="shared" si="4"/>
        <v>0.38344498076326572</v>
      </c>
      <c r="K15" s="367">
        <f>SC13CQ!J12</f>
        <v>2240200</v>
      </c>
    </row>
    <row r="16" spans="1:11" x14ac:dyDescent="0.25">
      <c r="A16" s="606" t="s">
        <v>1126</v>
      </c>
      <c r="B16" s="90"/>
      <c r="C16" s="744">
        <f>SC13CQ!B13</f>
        <v>0</v>
      </c>
      <c r="D16" s="744">
        <f>SC13CQ!C13</f>
        <v>0</v>
      </c>
      <c r="E16" s="331">
        <f>SC13CQ!D13</f>
        <v>0</v>
      </c>
      <c r="F16" s="704">
        <f>SC13CQ!E13</f>
        <v>0</v>
      </c>
      <c r="G16" s="331">
        <f>SC13CQ!F13</f>
        <v>0</v>
      </c>
      <c r="H16" s="704">
        <f>SC13CQ!G13</f>
        <v>0</v>
      </c>
      <c r="I16" s="34">
        <f t="shared" si="6"/>
        <v>0</v>
      </c>
      <c r="J16" s="148" t="str">
        <f t="shared" si="4"/>
        <v/>
      </c>
      <c r="K16" s="367">
        <f>SC13CQ!J13</f>
        <v>0</v>
      </c>
    </row>
    <row r="17" spans="1:11" x14ac:dyDescent="0.25">
      <c r="A17" s="30" t="s">
        <v>1127</v>
      </c>
      <c r="B17" s="90"/>
      <c r="C17" s="74">
        <f t="shared" ref="C17:H17" si="7">SUM(C18:C26)</f>
        <v>52244766.450000003</v>
      </c>
      <c r="D17" s="489">
        <f t="shared" si="7"/>
        <v>119383700</v>
      </c>
      <c r="E17" s="34">
        <f t="shared" si="7"/>
        <v>117480400</v>
      </c>
      <c r="F17" s="33">
        <f t="shared" si="7"/>
        <v>676040.39</v>
      </c>
      <c r="G17" s="34">
        <f t="shared" si="7"/>
        <v>59512221.149999999</v>
      </c>
      <c r="H17" s="33">
        <f t="shared" si="7"/>
        <v>78049860.719999999</v>
      </c>
      <c r="I17" s="34">
        <f t="shared" si="6"/>
        <v>18537639.57</v>
      </c>
      <c r="J17" s="148">
        <f t="shared" si="4"/>
        <v>0.23751021973636649</v>
      </c>
      <c r="K17" s="35">
        <f>SUM(K18:K26)</f>
        <v>117480400</v>
      </c>
    </row>
    <row r="18" spans="1:11" x14ac:dyDescent="0.25">
      <c r="A18" s="606" t="s">
        <v>1128</v>
      </c>
      <c r="B18" s="90"/>
      <c r="C18" s="744">
        <f>SC13CQ!B15</f>
        <v>0</v>
      </c>
      <c r="D18" s="744">
        <f>SC13CQ!C15</f>
        <v>0</v>
      </c>
      <c r="E18" s="331">
        <f>SC13CQ!D15</f>
        <v>0</v>
      </c>
      <c r="F18" s="704">
        <f>SC13CQ!E15</f>
        <v>0</v>
      </c>
      <c r="G18" s="331">
        <f>SC13CQ!F15</f>
        <v>0</v>
      </c>
      <c r="H18" s="704">
        <f>SC13CQ!G15</f>
        <v>0</v>
      </c>
      <c r="I18" s="34">
        <f t="shared" si="6"/>
        <v>0</v>
      </c>
      <c r="J18" s="148" t="str">
        <f t="shared" si="4"/>
        <v/>
      </c>
      <c r="K18" s="367">
        <f>SC13CQ!J15</f>
        <v>0</v>
      </c>
    </row>
    <row r="19" spans="1:11" x14ac:dyDescent="0.25">
      <c r="A19" s="606" t="s">
        <v>1129</v>
      </c>
      <c r="B19" s="90"/>
      <c r="C19" s="744">
        <f>SC13CQ!B16</f>
        <v>0</v>
      </c>
      <c r="D19" s="744">
        <f>SC13CQ!C16</f>
        <v>0</v>
      </c>
      <c r="E19" s="331">
        <f>SC13CQ!D16</f>
        <v>0</v>
      </c>
      <c r="F19" s="704">
        <f>SC13CQ!E16</f>
        <v>0</v>
      </c>
      <c r="G19" s="331">
        <f>SC13CQ!F16</f>
        <v>0</v>
      </c>
      <c r="H19" s="704">
        <f>SC13CQ!G16</f>
        <v>0</v>
      </c>
      <c r="I19" s="34">
        <f t="shared" si="6"/>
        <v>0</v>
      </c>
      <c r="J19" s="148" t="str">
        <f t="shared" si="2"/>
        <v/>
      </c>
      <c r="K19" s="367">
        <f>SC13CQ!J16</f>
        <v>0</v>
      </c>
    </row>
    <row r="20" spans="1:11" x14ac:dyDescent="0.25">
      <c r="A20" s="606" t="s">
        <v>1130</v>
      </c>
      <c r="B20" s="90"/>
      <c r="C20" s="744">
        <f>SC13CQ!B17</f>
        <v>0</v>
      </c>
      <c r="D20" s="744">
        <f>SC13CQ!C17</f>
        <v>0</v>
      </c>
      <c r="E20" s="331">
        <f>SC13CQ!D17</f>
        <v>0</v>
      </c>
      <c r="F20" s="704">
        <f>SC13CQ!E17</f>
        <v>0</v>
      </c>
      <c r="G20" s="331">
        <f>SC13CQ!F17</f>
        <v>0</v>
      </c>
      <c r="H20" s="704">
        <f>SC13CQ!G17</f>
        <v>0</v>
      </c>
      <c r="I20" s="34">
        <f t="shared" si="6"/>
        <v>0</v>
      </c>
      <c r="J20" s="148" t="str">
        <f t="shared" si="2"/>
        <v/>
      </c>
      <c r="K20" s="367">
        <f>SC13CQ!J17</f>
        <v>0</v>
      </c>
    </row>
    <row r="21" spans="1:11" x14ac:dyDescent="0.25">
      <c r="A21" s="606" t="s">
        <v>1131</v>
      </c>
      <c r="B21" s="90"/>
      <c r="C21" s="744">
        <f>SC13CQ!B18</f>
        <v>10981184.76</v>
      </c>
      <c r="D21" s="744">
        <f>SC13CQ!C18</f>
        <v>8422700</v>
      </c>
      <c r="E21" s="331">
        <f>SC13CQ!D18</f>
        <v>9722700</v>
      </c>
      <c r="F21" s="704">
        <f>SC13CQ!E18</f>
        <v>164871.45000000001</v>
      </c>
      <c r="G21" s="331">
        <f>SC13CQ!F18</f>
        <v>7388986.0800000001</v>
      </c>
      <c r="H21" s="704">
        <f>SC13CQ!G18</f>
        <v>6738651.3799999999</v>
      </c>
      <c r="I21" s="34">
        <f t="shared" si="6"/>
        <v>-650334.70000000019</v>
      </c>
      <c r="J21" s="148">
        <f t="shared" si="2"/>
        <v>-9.6508138398458024E-2</v>
      </c>
      <c r="K21" s="367">
        <f>SC13CQ!J18</f>
        <v>9722700</v>
      </c>
    </row>
    <row r="22" spans="1:11" x14ac:dyDescent="0.25">
      <c r="A22" s="606" t="s">
        <v>1132</v>
      </c>
      <c r="B22" s="90"/>
      <c r="C22" s="744">
        <f>SC13CQ!B19</f>
        <v>285159</v>
      </c>
      <c r="D22" s="744">
        <f>SC13CQ!C19</f>
        <v>1766500</v>
      </c>
      <c r="E22" s="331">
        <f>SC13CQ!D19</f>
        <v>1766500</v>
      </c>
      <c r="F22" s="704">
        <f>SC13CQ!E19</f>
        <v>0</v>
      </c>
      <c r="G22" s="331">
        <f>SC13CQ!F19</f>
        <v>0</v>
      </c>
      <c r="H22" s="704">
        <f>SC13CQ!G19</f>
        <v>293700</v>
      </c>
      <c r="I22" s="34">
        <f t="shared" si="6"/>
        <v>293700</v>
      </c>
      <c r="J22" s="148">
        <f t="shared" si="2"/>
        <v>1</v>
      </c>
      <c r="K22" s="367">
        <f>SC13CQ!J19</f>
        <v>1766500</v>
      </c>
    </row>
    <row r="23" spans="1:11" x14ac:dyDescent="0.25">
      <c r="A23" s="606" t="s">
        <v>1133</v>
      </c>
      <c r="B23" s="90"/>
      <c r="C23" s="744">
        <f>SC13CQ!B20</f>
        <v>0</v>
      </c>
      <c r="D23" s="744">
        <f>SC13CQ!C20</f>
        <v>0</v>
      </c>
      <c r="E23" s="331">
        <f>SC13CQ!D20</f>
        <v>0</v>
      </c>
      <c r="F23" s="704">
        <f>SC13CQ!E20</f>
        <v>0</v>
      </c>
      <c r="G23" s="331">
        <f>SC13CQ!F20</f>
        <v>0</v>
      </c>
      <c r="H23" s="704">
        <f>SC13CQ!G20</f>
        <v>0</v>
      </c>
      <c r="I23" s="34">
        <f t="shared" si="6"/>
        <v>0</v>
      </c>
      <c r="J23" s="148" t="str">
        <f t="shared" si="2"/>
        <v/>
      </c>
      <c r="K23" s="367">
        <f>SC13CQ!J20</f>
        <v>0</v>
      </c>
    </row>
    <row r="24" spans="1:11" x14ac:dyDescent="0.25">
      <c r="A24" s="606" t="s">
        <v>1134</v>
      </c>
      <c r="B24" s="90"/>
      <c r="C24" s="744">
        <f>SC13CQ!B21</f>
        <v>31876851.300000001</v>
      </c>
      <c r="D24" s="744">
        <f>SC13CQ!C21</f>
        <v>83188200</v>
      </c>
      <c r="E24" s="331">
        <f>SC13CQ!D21</f>
        <v>80534900</v>
      </c>
      <c r="F24" s="704">
        <f>SC13CQ!E21</f>
        <v>172121</v>
      </c>
      <c r="G24" s="331">
        <f>SC13CQ!F21</f>
        <v>42070161.609999999</v>
      </c>
      <c r="H24" s="704">
        <f>SC13CQ!G21</f>
        <v>56410372.899999999</v>
      </c>
      <c r="I24" s="34">
        <f t="shared" si="6"/>
        <v>14340211.289999999</v>
      </c>
      <c r="J24" s="148">
        <f t="shared" si="2"/>
        <v>0.25421231154456703</v>
      </c>
      <c r="K24" s="367">
        <f>SC13CQ!J21</f>
        <v>80534900</v>
      </c>
    </row>
    <row r="25" spans="1:11" x14ac:dyDescent="0.25">
      <c r="A25" s="606" t="s">
        <v>1135</v>
      </c>
      <c r="B25" s="90"/>
      <c r="C25" s="744">
        <f>SC13CQ!B22</f>
        <v>9101571.3900000006</v>
      </c>
      <c r="D25" s="744">
        <f>SC13CQ!C22</f>
        <v>26006300</v>
      </c>
      <c r="E25" s="331">
        <f>SC13CQ!D22</f>
        <v>25456300</v>
      </c>
      <c r="F25" s="704">
        <f>SC13CQ!E22</f>
        <v>339047.94</v>
      </c>
      <c r="G25" s="331">
        <f>SC13CQ!F22</f>
        <v>10053073.460000001</v>
      </c>
      <c r="H25" s="704">
        <f>SC13CQ!G22</f>
        <v>14607136.439999999</v>
      </c>
      <c r="I25" s="34">
        <f t="shared" si="6"/>
        <v>4554062.9799999986</v>
      </c>
      <c r="J25" s="148">
        <f t="shared" si="2"/>
        <v>0.3117697297280807</v>
      </c>
      <c r="K25" s="367">
        <f>SC13CQ!J22</f>
        <v>25456300</v>
      </c>
    </row>
    <row r="26" spans="1:11" x14ac:dyDescent="0.25">
      <c r="A26" s="606" t="s">
        <v>1122</v>
      </c>
      <c r="B26" s="90"/>
      <c r="C26" s="744">
        <f>SC13CQ!B23</f>
        <v>0</v>
      </c>
      <c r="D26" s="744">
        <f>SC13CQ!C23</f>
        <v>0</v>
      </c>
      <c r="E26" s="331">
        <f>SC13CQ!D23</f>
        <v>0</v>
      </c>
      <c r="F26" s="704">
        <f>SC13CQ!E23</f>
        <v>0</v>
      </c>
      <c r="G26" s="331">
        <f>SC13CQ!F23</f>
        <v>0</v>
      </c>
      <c r="H26" s="704">
        <f>SC13CQ!G23</f>
        <v>0</v>
      </c>
      <c r="I26" s="34">
        <f t="shared" si="6"/>
        <v>0</v>
      </c>
      <c r="J26" s="148" t="str">
        <f t="shared" si="2"/>
        <v/>
      </c>
      <c r="K26" s="367">
        <f>SC13CQ!J23</f>
        <v>0</v>
      </c>
    </row>
    <row r="27" spans="1:11" x14ac:dyDescent="0.25">
      <c r="A27" s="30" t="s">
        <v>1136</v>
      </c>
      <c r="B27" s="90"/>
      <c r="C27" s="74">
        <f t="shared" ref="C27:H27" si="8">SUM(C28:C37)</f>
        <v>46494808.480000004</v>
      </c>
      <c r="D27" s="489">
        <f t="shared" si="8"/>
        <v>118081700</v>
      </c>
      <c r="E27" s="34">
        <f t="shared" si="8"/>
        <v>117681700</v>
      </c>
      <c r="F27" s="33">
        <f t="shared" si="8"/>
        <v>885525.31</v>
      </c>
      <c r="G27" s="34">
        <f t="shared" si="8"/>
        <v>66656249.339999996</v>
      </c>
      <c r="H27" s="33">
        <f t="shared" si="8"/>
        <v>89107469.480000004</v>
      </c>
      <c r="I27" s="34">
        <f t="shared" si="6"/>
        <v>22451220.140000008</v>
      </c>
      <c r="J27" s="148">
        <f t="shared" si="2"/>
        <v>0.25195665718056487</v>
      </c>
      <c r="K27" s="35">
        <f>SUM(K28:K37)</f>
        <v>117681700</v>
      </c>
    </row>
    <row r="28" spans="1:11" x14ac:dyDescent="0.25">
      <c r="A28" s="606" t="s">
        <v>1137</v>
      </c>
      <c r="B28" s="90"/>
      <c r="C28" s="744">
        <f>SC13CQ!B25</f>
        <v>0</v>
      </c>
      <c r="D28" s="744">
        <f>SC13CQ!C25</f>
        <v>0</v>
      </c>
      <c r="E28" s="331">
        <f>SC13CQ!D25</f>
        <v>0</v>
      </c>
      <c r="F28" s="704">
        <f>SC13CQ!E25</f>
        <v>0</v>
      </c>
      <c r="G28" s="331">
        <f>SC13CQ!F25</f>
        <v>0</v>
      </c>
      <c r="H28" s="704">
        <f>SC13CQ!G25</f>
        <v>0</v>
      </c>
      <c r="I28" s="34">
        <f t="shared" si="6"/>
        <v>0</v>
      </c>
      <c r="J28" s="148" t="str">
        <f t="shared" si="2"/>
        <v/>
      </c>
      <c r="K28" s="367">
        <f>SC13CQ!J25</f>
        <v>0</v>
      </c>
    </row>
    <row r="29" spans="1:11" x14ac:dyDescent="0.25">
      <c r="A29" s="606" t="s">
        <v>1138</v>
      </c>
      <c r="B29" s="90"/>
      <c r="C29" s="744">
        <f>SC13CQ!B26</f>
        <v>223860</v>
      </c>
      <c r="D29" s="744">
        <f>SC13CQ!C26</f>
        <v>376500</v>
      </c>
      <c r="E29" s="331">
        <f>SC13CQ!D26</f>
        <v>376500</v>
      </c>
      <c r="F29" s="704">
        <f>SC13CQ!E26</f>
        <v>0</v>
      </c>
      <c r="G29" s="331">
        <f>SC13CQ!F26</f>
        <v>0</v>
      </c>
      <c r="H29" s="704">
        <f>SC13CQ!G26</f>
        <v>133000</v>
      </c>
      <c r="I29" s="34">
        <f t="shared" si="6"/>
        <v>133000</v>
      </c>
      <c r="J29" s="148">
        <f t="shared" si="2"/>
        <v>1</v>
      </c>
      <c r="K29" s="367">
        <f>SC13CQ!J26</f>
        <v>376500</v>
      </c>
    </row>
    <row r="30" spans="1:11" x14ac:dyDescent="0.25">
      <c r="A30" s="606" t="s">
        <v>1139</v>
      </c>
      <c r="B30" s="90"/>
      <c r="C30" s="744">
        <f>SC13CQ!B27</f>
        <v>0</v>
      </c>
      <c r="D30" s="744">
        <f>SC13CQ!C27</f>
        <v>0</v>
      </c>
      <c r="E30" s="331">
        <f>SC13CQ!D27</f>
        <v>0</v>
      </c>
      <c r="F30" s="704">
        <f>SC13CQ!E27</f>
        <v>0</v>
      </c>
      <c r="G30" s="331">
        <f>SC13CQ!F27</f>
        <v>0</v>
      </c>
      <c r="H30" s="704">
        <f>SC13CQ!G27</f>
        <v>0</v>
      </c>
      <c r="I30" s="34">
        <f t="shared" si="6"/>
        <v>0</v>
      </c>
      <c r="J30" s="148" t="str">
        <f t="shared" si="2"/>
        <v/>
      </c>
      <c r="K30" s="367">
        <f>SC13CQ!J27</f>
        <v>0</v>
      </c>
    </row>
    <row r="31" spans="1:11" x14ac:dyDescent="0.25">
      <c r="A31" s="606" t="s">
        <v>1140</v>
      </c>
      <c r="B31" s="90"/>
      <c r="C31" s="744">
        <f>SC13CQ!B28</f>
        <v>0</v>
      </c>
      <c r="D31" s="744">
        <f>SC13CQ!C28</f>
        <v>0</v>
      </c>
      <c r="E31" s="331">
        <f>SC13CQ!D28</f>
        <v>0</v>
      </c>
      <c r="F31" s="704">
        <f>SC13CQ!E28</f>
        <v>0</v>
      </c>
      <c r="G31" s="331">
        <f>SC13CQ!F28</f>
        <v>0</v>
      </c>
      <c r="H31" s="704">
        <f>SC13CQ!G28</f>
        <v>0</v>
      </c>
      <c r="I31" s="34">
        <f t="shared" si="6"/>
        <v>0</v>
      </c>
      <c r="J31" s="148" t="str">
        <f t="shared" si="2"/>
        <v/>
      </c>
      <c r="K31" s="367">
        <f>SC13CQ!J28</f>
        <v>0</v>
      </c>
    </row>
    <row r="32" spans="1:11" x14ac:dyDescent="0.25">
      <c r="A32" s="606" t="s">
        <v>1141</v>
      </c>
      <c r="B32" s="90"/>
      <c r="C32" s="744">
        <f>SC13CQ!B29</f>
        <v>896056</v>
      </c>
      <c r="D32" s="744">
        <f>SC13CQ!C29</f>
        <v>1557000</v>
      </c>
      <c r="E32" s="331">
        <f>SC13CQ!D29</f>
        <v>1557000</v>
      </c>
      <c r="F32" s="704">
        <f>SC13CQ!E29</f>
        <v>168847</v>
      </c>
      <c r="G32" s="331">
        <f>SC13CQ!F29</f>
        <v>1032082.87</v>
      </c>
      <c r="H32" s="704">
        <f>SC13CQ!G29</f>
        <v>495009.82</v>
      </c>
      <c r="I32" s="34">
        <f t="shared" si="6"/>
        <v>-537073.05000000005</v>
      </c>
      <c r="J32" s="148">
        <f t="shared" si="2"/>
        <v>-1.0849745364647514</v>
      </c>
      <c r="K32" s="367">
        <f>SC13CQ!J29</f>
        <v>1557000</v>
      </c>
    </row>
    <row r="33" spans="1:11" x14ac:dyDescent="0.25">
      <c r="A33" s="606" t="s">
        <v>1142</v>
      </c>
      <c r="B33" s="90"/>
      <c r="C33" s="744">
        <f>SC13CQ!B30</f>
        <v>0</v>
      </c>
      <c r="D33" s="744">
        <f>SC13CQ!C30</f>
        <v>0</v>
      </c>
      <c r="E33" s="331">
        <f>SC13CQ!D30</f>
        <v>0</v>
      </c>
      <c r="F33" s="704">
        <f>SC13CQ!E30</f>
        <v>0</v>
      </c>
      <c r="G33" s="331">
        <f>SC13CQ!F30</f>
        <v>0</v>
      </c>
      <c r="H33" s="704">
        <f>SC13CQ!G30</f>
        <v>0</v>
      </c>
      <c r="I33" s="34">
        <f t="shared" si="6"/>
        <v>0</v>
      </c>
      <c r="J33" s="148" t="str">
        <f t="shared" si="2"/>
        <v/>
      </c>
      <c r="K33" s="367">
        <f>SC13CQ!J30</f>
        <v>0</v>
      </c>
    </row>
    <row r="34" spans="1:11" x14ac:dyDescent="0.25">
      <c r="A34" s="606" t="s">
        <v>1143</v>
      </c>
      <c r="B34" s="90"/>
      <c r="C34" s="744">
        <f>SC13CQ!B31</f>
        <v>43832993.670000002</v>
      </c>
      <c r="D34" s="744">
        <f>SC13CQ!C31</f>
        <v>114305000</v>
      </c>
      <c r="E34" s="331">
        <f>SC13CQ!D31</f>
        <v>114105000</v>
      </c>
      <c r="F34" s="704">
        <f>SC13CQ!E31</f>
        <v>681978.31</v>
      </c>
      <c r="G34" s="331">
        <f>SC13CQ!F31</f>
        <v>64081740.729999997</v>
      </c>
      <c r="H34" s="704">
        <f>SC13CQ!G31</f>
        <v>86702337.150000006</v>
      </c>
      <c r="I34" s="34">
        <f t="shared" si="6"/>
        <v>22620596.420000009</v>
      </c>
      <c r="J34" s="148">
        <f t="shared" si="2"/>
        <v>0.26089950010073065</v>
      </c>
      <c r="K34" s="367">
        <f>SC13CQ!J31</f>
        <v>114105000</v>
      </c>
    </row>
    <row r="35" spans="1:11" x14ac:dyDescent="0.25">
      <c r="A35" s="606" t="s">
        <v>1144</v>
      </c>
      <c r="B35" s="90"/>
      <c r="C35" s="744">
        <f>SC13CQ!B32</f>
        <v>1541898.81</v>
      </c>
      <c r="D35" s="744">
        <f>SC13CQ!C32</f>
        <v>1843200</v>
      </c>
      <c r="E35" s="331">
        <f>SC13CQ!D32</f>
        <v>1643200</v>
      </c>
      <c r="F35" s="704">
        <f>SC13CQ!E32</f>
        <v>34700</v>
      </c>
      <c r="G35" s="331">
        <f>SC13CQ!F32</f>
        <v>1542425.74</v>
      </c>
      <c r="H35" s="704">
        <f>SC13CQ!G32</f>
        <v>1777122.51</v>
      </c>
      <c r="I35" s="34">
        <f t="shared" si="6"/>
        <v>234696.77000000002</v>
      </c>
      <c r="J35" s="148">
        <f t="shared" si="2"/>
        <v>0.13206561094091371</v>
      </c>
      <c r="K35" s="367">
        <f>SC13CQ!J32</f>
        <v>1643200</v>
      </c>
    </row>
    <row r="36" spans="1:11" x14ac:dyDescent="0.25">
      <c r="A36" s="606" t="s">
        <v>1145</v>
      </c>
      <c r="B36" s="90"/>
      <c r="C36" s="744">
        <f>SC13CQ!B33</f>
        <v>0</v>
      </c>
      <c r="D36" s="744">
        <f>SC13CQ!C33</f>
        <v>0</v>
      </c>
      <c r="E36" s="331">
        <f>SC13CQ!D33</f>
        <v>0</v>
      </c>
      <c r="F36" s="704">
        <f>SC13CQ!E33</f>
        <v>0</v>
      </c>
      <c r="G36" s="331">
        <f>SC13CQ!F33</f>
        <v>0</v>
      </c>
      <c r="H36" s="704">
        <f>SC13CQ!G33</f>
        <v>0</v>
      </c>
      <c r="I36" s="34">
        <f t="shared" si="6"/>
        <v>0</v>
      </c>
      <c r="J36" s="148" t="str">
        <f t="shared" si="2"/>
        <v/>
      </c>
      <c r="K36" s="367">
        <f>SC13CQ!J33</f>
        <v>0</v>
      </c>
    </row>
    <row r="37" spans="1:11" x14ac:dyDescent="0.25">
      <c r="A37" s="606" t="s">
        <v>1122</v>
      </c>
      <c r="B37" s="90"/>
      <c r="C37" s="744">
        <f>SC13CQ!B34</f>
        <v>0</v>
      </c>
      <c r="D37" s="744">
        <f>SC13CQ!C34</f>
        <v>0</v>
      </c>
      <c r="E37" s="331">
        <f>SC13CQ!D34</f>
        <v>0</v>
      </c>
      <c r="F37" s="704">
        <f>SC13CQ!E34</f>
        <v>0</v>
      </c>
      <c r="G37" s="331">
        <f>SC13CQ!F34</f>
        <v>0</v>
      </c>
      <c r="H37" s="704">
        <f>SC13CQ!G34</f>
        <v>0</v>
      </c>
      <c r="I37" s="34">
        <f t="shared" si="6"/>
        <v>0</v>
      </c>
      <c r="J37" s="148" t="str">
        <f t="shared" si="2"/>
        <v/>
      </c>
      <c r="K37" s="367">
        <f>SC13CQ!J34</f>
        <v>0</v>
      </c>
    </row>
    <row r="38" spans="1:11" x14ac:dyDescent="0.25">
      <c r="A38" s="30" t="s">
        <v>1146</v>
      </c>
      <c r="B38" s="90"/>
      <c r="C38" s="74">
        <f t="shared" ref="C38:H38" si="9">SUM(C39:C44)</f>
        <v>26479889.560000002</v>
      </c>
      <c r="D38" s="489">
        <f t="shared" si="9"/>
        <v>61215600</v>
      </c>
      <c r="E38" s="34">
        <f t="shared" si="9"/>
        <v>59115600</v>
      </c>
      <c r="F38" s="33">
        <f t="shared" si="9"/>
        <v>382527.68</v>
      </c>
      <c r="G38" s="34">
        <f t="shared" si="9"/>
        <v>36020857.469999999</v>
      </c>
      <c r="H38" s="33">
        <f t="shared" si="9"/>
        <v>46671649.459999993</v>
      </c>
      <c r="I38" s="34">
        <f t="shared" si="6"/>
        <v>10650791.989999995</v>
      </c>
      <c r="J38" s="148">
        <f t="shared" si="2"/>
        <v>0.22820689033346189</v>
      </c>
      <c r="K38" s="35">
        <f>SUM(K39:K44)</f>
        <v>59115600</v>
      </c>
    </row>
    <row r="39" spans="1:11" x14ac:dyDescent="0.25">
      <c r="A39" s="606" t="s">
        <v>1147</v>
      </c>
      <c r="B39" s="90"/>
      <c r="C39" s="744">
        <f>SC13CQ!B36</f>
        <v>5774821.0199999996</v>
      </c>
      <c r="D39" s="744">
        <f>SC13CQ!C36</f>
        <v>22966100</v>
      </c>
      <c r="E39" s="331">
        <f>SC13CQ!D36</f>
        <v>22966100</v>
      </c>
      <c r="F39" s="704">
        <f>SC13CQ!E36</f>
        <v>1224</v>
      </c>
      <c r="G39" s="331">
        <f>SC13CQ!F36</f>
        <v>8780546.1199999992</v>
      </c>
      <c r="H39" s="704">
        <f>SC13CQ!G36</f>
        <v>13103322.51</v>
      </c>
      <c r="I39" s="34">
        <f t="shared" si="6"/>
        <v>4322776.3900000006</v>
      </c>
      <c r="J39" s="148">
        <f t="shared" si="2"/>
        <v>0.32989925926809843</v>
      </c>
      <c r="K39" s="367">
        <f>SC13CQ!J36</f>
        <v>22966100</v>
      </c>
    </row>
    <row r="40" spans="1:11" x14ac:dyDescent="0.25">
      <c r="A40" s="606" t="s">
        <v>117</v>
      </c>
      <c r="B40" s="90"/>
      <c r="C40" s="744">
        <f>SC13CQ!B37</f>
        <v>8800502.4199999999</v>
      </c>
      <c r="D40" s="744">
        <f>SC13CQ!C37</f>
        <v>23380900</v>
      </c>
      <c r="E40" s="331">
        <f>SC13CQ!D37</f>
        <v>22880900</v>
      </c>
      <c r="F40" s="704">
        <f>SC13CQ!E37</f>
        <v>91428.44</v>
      </c>
      <c r="G40" s="331">
        <f>SC13CQ!F37</f>
        <v>16141479.18</v>
      </c>
      <c r="H40" s="704">
        <f>SC13CQ!G37</f>
        <v>21046741.289999999</v>
      </c>
      <c r="I40" s="34">
        <f t="shared" si="6"/>
        <v>4905262.1099999994</v>
      </c>
      <c r="J40" s="148">
        <f t="shared" si="2"/>
        <v>0.23306515922874252</v>
      </c>
      <c r="K40" s="367">
        <f>SC13CQ!J37</f>
        <v>22880900</v>
      </c>
    </row>
    <row r="41" spans="1:11" x14ac:dyDescent="0.25">
      <c r="A41" s="606" t="s">
        <v>1148</v>
      </c>
      <c r="B41" s="90"/>
      <c r="C41" s="744">
        <f>SC13CQ!B38</f>
        <v>6273936.2199999997</v>
      </c>
      <c r="D41" s="744">
        <f>SC13CQ!C38</f>
        <v>8232000</v>
      </c>
      <c r="E41" s="331">
        <f>SC13CQ!D38</f>
        <v>7132000</v>
      </c>
      <c r="F41" s="704">
        <f>SC13CQ!E38</f>
        <v>289875.24</v>
      </c>
      <c r="G41" s="331">
        <f>SC13CQ!F38</f>
        <v>5597327.1699999999</v>
      </c>
      <c r="H41" s="704">
        <f>SC13CQ!G38</f>
        <v>6406055.6600000001</v>
      </c>
      <c r="I41" s="34">
        <f t="shared" si="6"/>
        <v>808728.49000000022</v>
      </c>
      <c r="J41" s="148">
        <f t="shared" si="2"/>
        <v>0.12624437452983359</v>
      </c>
      <c r="K41" s="367">
        <f>SC13CQ!J38</f>
        <v>7132000</v>
      </c>
    </row>
    <row r="42" spans="1:11" x14ac:dyDescent="0.25">
      <c r="A42" s="606" t="s">
        <v>1149</v>
      </c>
      <c r="B42" s="90"/>
      <c r="C42" s="744">
        <f>SC13CQ!B39</f>
        <v>0</v>
      </c>
      <c r="D42" s="744">
        <f>SC13CQ!C39</f>
        <v>0</v>
      </c>
      <c r="E42" s="331">
        <f>SC13CQ!D39</f>
        <v>0</v>
      </c>
      <c r="F42" s="704">
        <f>SC13CQ!E39</f>
        <v>0</v>
      </c>
      <c r="G42" s="331">
        <f>SC13CQ!F39</f>
        <v>0</v>
      </c>
      <c r="H42" s="704">
        <f>SC13CQ!G39</f>
        <v>0</v>
      </c>
      <c r="I42" s="34">
        <f t="shared" si="6"/>
        <v>0</v>
      </c>
      <c r="J42" s="148" t="str">
        <f t="shared" si="2"/>
        <v/>
      </c>
      <c r="K42" s="367">
        <f>SC13CQ!J39</f>
        <v>0</v>
      </c>
    </row>
    <row r="43" spans="1:11" x14ac:dyDescent="0.25">
      <c r="A43" s="606" t="s">
        <v>1150</v>
      </c>
      <c r="B43" s="90"/>
      <c r="C43" s="744">
        <f>SC13CQ!B40</f>
        <v>5630629.9000000004</v>
      </c>
      <c r="D43" s="744">
        <f>SC13CQ!C40</f>
        <v>6636600</v>
      </c>
      <c r="E43" s="331">
        <f>SC13CQ!D40</f>
        <v>6136600</v>
      </c>
      <c r="F43" s="704">
        <f>SC13CQ!E40</f>
        <v>0</v>
      </c>
      <c r="G43" s="331">
        <f>SC13CQ!F40</f>
        <v>5501505</v>
      </c>
      <c r="H43" s="704">
        <f>SC13CQ!G40</f>
        <v>6115530</v>
      </c>
      <c r="I43" s="34">
        <f t="shared" si="6"/>
        <v>614025</v>
      </c>
      <c r="J43" s="148">
        <f t="shared" si="2"/>
        <v>0.1004042168054118</v>
      </c>
      <c r="K43" s="367">
        <f>SC13CQ!J40</f>
        <v>6136600</v>
      </c>
    </row>
    <row r="44" spans="1:11" x14ac:dyDescent="0.25">
      <c r="A44" s="606" t="s">
        <v>1122</v>
      </c>
      <c r="B44" s="90"/>
      <c r="C44" s="744">
        <f>SC13CQ!B41</f>
        <v>0</v>
      </c>
      <c r="D44" s="744">
        <f>SC13CQ!C41</f>
        <v>0</v>
      </c>
      <c r="E44" s="331">
        <f>SC13CQ!D41</f>
        <v>0</v>
      </c>
      <c r="F44" s="704">
        <f>SC13CQ!E41</f>
        <v>0</v>
      </c>
      <c r="G44" s="331">
        <f>SC13CQ!F41</f>
        <v>0</v>
      </c>
      <c r="H44" s="704">
        <f>SC13CQ!G41</f>
        <v>0</v>
      </c>
      <c r="I44" s="34">
        <f t="shared" si="6"/>
        <v>0</v>
      </c>
      <c r="J44" s="148" t="str">
        <f t="shared" si="2"/>
        <v/>
      </c>
      <c r="K44" s="367">
        <f>SC13CQ!J41</f>
        <v>0</v>
      </c>
    </row>
    <row r="45" spans="1:11" x14ac:dyDescent="0.25">
      <c r="A45" s="30" t="s">
        <v>1151</v>
      </c>
      <c r="B45" s="90"/>
      <c r="C45" s="74">
        <f t="shared" ref="C45:H45" si="10">SUM(C46:C52)</f>
        <v>0</v>
      </c>
      <c r="D45" s="489">
        <f t="shared" si="10"/>
        <v>0</v>
      </c>
      <c r="E45" s="34">
        <f t="shared" si="10"/>
        <v>0</v>
      </c>
      <c r="F45" s="33">
        <f t="shared" si="10"/>
        <v>0</v>
      </c>
      <c r="G45" s="34">
        <f t="shared" si="10"/>
        <v>0</v>
      </c>
      <c r="H45" s="33">
        <f t="shared" si="10"/>
        <v>0</v>
      </c>
      <c r="I45" s="34">
        <f t="shared" si="6"/>
        <v>0</v>
      </c>
      <c r="J45" s="148" t="str">
        <f t="shared" si="2"/>
        <v/>
      </c>
      <c r="K45" s="35">
        <f>SUM(K46:K52)</f>
        <v>0</v>
      </c>
    </row>
    <row r="46" spans="1:11" x14ac:dyDescent="0.25">
      <c r="A46" s="606" t="s">
        <v>1152</v>
      </c>
      <c r="B46" s="90"/>
      <c r="C46" s="744">
        <f>SC13CQ!B43</f>
        <v>0</v>
      </c>
      <c r="D46" s="744">
        <f>SC13CQ!C43</f>
        <v>0</v>
      </c>
      <c r="E46" s="331">
        <f>SC13CQ!D43</f>
        <v>0</v>
      </c>
      <c r="F46" s="704">
        <f>SC13CQ!E43</f>
        <v>0</v>
      </c>
      <c r="G46" s="331">
        <f>SC13CQ!F43</f>
        <v>0</v>
      </c>
      <c r="H46" s="704">
        <f>SC13CQ!G43</f>
        <v>0</v>
      </c>
      <c r="I46" s="34">
        <f t="shared" si="6"/>
        <v>0</v>
      </c>
      <c r="J46" s="148" t="str">
        <f t="shared" si="2"/>
        <v/>
      </c>
      <c r="K46" s="367">
        <f>SC13CQ!J43</f>
        <v>0</v>
      </c>
    </row>
    <row r="47" spans="1:11" x14ac:dyDescent="0.25">
      <c r="A47" s="606" t="s">
        <v>1153</v>
      </c>
      <c r="B47" s="90"/>
      <c r="C47" s="744">
        <f>SC13CQ!B44</f>
        <v>0</v>
      </c>
      <c r="D47" s="744">
        <f>SC13CQ!C44</f>
        <v>0</v>
      </c>
      <c r="E47" s="331">
        <f>SC13CQ!D44</f>
        <v>0</v>
      </c>
      <c r="F47" s="704">
        <f>SC13CQ!E44</f>
        <v>0</v>
      </c>
      <c r="G47" s="331">
        <f>SC13CQ!F44</f>
        <v>0</v>
      </c>
      <c r="H47" s="704">
        <f>SC13CQ!G44</f>
        <v>0</v>
      </c>
      <c r="I47" s="34">
        <f t="shared" si="6"/>
        <v>0</v>
      </c>
      <c r="J47" s="148" t="str">
        <f t="shared" si="2"/>
        <v/>
      </c>
      <c r="K47" s="367">
        <f>SC13CQ!J44</f>
        <v>0</v>
      </c>
    </row>
    <row r="48" spans="1:11" x14ac:dyDescent="0.25">
      <c r="A48" s="606" t="s">
        <v>1154</v>
      </c>
      <c r="B48" s="90"/>
      <c r="C48" s="744">
        <f>SC13CQ!B45</f>
        <v>0</v>
      </c>
      <c r="D48" s="744">
        <f>SC13CQ!C45</f>
        <v>0</v>
      </c>
      <c r="E48" s="331">
        <f>SC13CQ!D45</f>
        <v>0</v>
      </c>
      <c r="F48" s="704">
        <f>SC13CQ!E45</f>
        <v>0</v>
      </c>
      <c r="G48" s="331">
        <f>SC13CQ!F45</f>
        <v>0</v>
      </c>
      <c r="H48" s="704">
        <f>SC13CQ!G45</f>
        <v>0</v>
      </c>
      <c r="I48" s="34">
        <f t="shared" si="6"/>
        <v>0</v>
      </c>
      <c r="J48" s="148" t="str">
        <f t="shared" si="2"/>
        <v/>
      </c>
      <c r="K48" s="367">
        <f>SC13CQ!J45</f>
        <v>0</v>
      </c>
    </row>
    <row r="49" spans="1:11" x14ac:dyDescent="0.25">
      <c r="A49" s="606" t="s">
        <v>1155</v>
      </c>
      <c r="B49" s="90"/>
      <c r="C49" s="744">
        <f>SC13CQ!B46</f>
        <v>0</v>
      </c>
      <c r="D49" s="744">
        <f>SC13CQ!C46</f>
        <v>0</v>
      </c>
      <c r="E49" s="331">
        <f>SC13CQ!D46</f>
        <v>0</v>
      </c>
      <c r="F49" s="704">
        <f>SC13CQ!E46</f>
        <v>0</v>
      </c>
      <c r="G49" s="331">
        <f>SC13CQ!F46</f>
        <v>0</v>
      </c>
      <c r="H49" s="704">
        <f>SC13CQ!G46</f>
        <v>0</v>
      </c>
      <c r="I49" s="34">
        <f t="shared" si="6"/>
        <v>0</v>
      </c>
      <c r="J49" s="148" t="str">
        <f t="shared" si="2"/>
        <v/>
      </c>
      <c r="K49" s="367">
        <f>SC13CQ!J46</f>
        <v>0</v>
      </c>
    </row>
    <row r="50" spans="1:11" x14ac:dyDescent="0.25">
      <c r="A50" s="606" t="s">
        <v>1156</v>
      </c>
      <c r="B50" s="90"/>
      <c r="C50" s="744">
        <f>SC13CQ!B47</f>
        <v>0</v>
      </c>
      <c r="D50" s="744">
        <f>SC13CQ!C47</f>
        <v>0</v>
      </c>
      <c r="E50" s="331">
        <f>SC13CQ!D47</f>
        <v>0</v>
      </c>
      <c r="F50" s="704">
        <f>SC13CQ!E47</f>
        <v>0</v>
      </c>
      <c r="G50" s="331">
        <f>SC13CQ!F47</f>
        <v>0</v>
      </c>
      <c r="H50" s="704">
        <f>SC13CQ!G47</f>
        <v>0</v>
      </c>
      <c r="I50" s="34">
        <f t="shared" si="6"/>
        <v>0</v>
      </c>
      <c r="J50" s="148" t="str">
        <f t="shared" si="2"/>
        <v/>
      </c>
      <c r="K50" s="367">
        <f>SC13CQ!J47</f>
        <v>0</v>
      </c>
    </row>
    <row r="51" spans="1:11" x14ac:dyDescent="0.25">
      <c r="A51" s="606" t="s">
        <v>1157</v>
      </c>
      <c r="B51" s="90"/>
      <c r="C51" s="744">
        <f>SC13CQ!B48</f>
        <v>0</v>
      </c>
      <c r="D51" s="744">
        <f>SC13CQ!C48</f>
        <v>0</v>
      </c>
      <c r="E51" s="331">
        <f>SC13CQ!D48</f>
        <v>0</v>
      </c>
      <c r="F51" s="704">
        <f>SC13CQ!E48</f>
        <v>0</v>
      </c>
      <c r="G51" s="331">
        <f>SC13CQ!F48</f>
        <v>0</v>
      </c>
      <c r="H51" s="704">
        <f>SC13CQ!G48</f>
        <v>0</v>
      </c>
      <c r="I51" s="34">
        <f t="shared" si="6"/>
        <v>0</v>
      </c>
      <c r="J51" s="148" t="str">
        <f t="shared" si="2"/>
        <v/>
      </c>
      <c r="K51" s="367">
        <f>SC13CQ!J48</f>
        <v>0</v>
      </c>
    </row>
    <row r="52" spans="1:11" x14ac:dyDescent="0.25">
      <c r="A52" s="606" t="s">
        <v>1122</v>
      </c>
      <c r="B52" s="90"/>
      <c r="C52" s="744">
        <f>SC13CQ!B49</f>
        <v>0</v>
      </c>
      <c r="D52" s="744">
        <f>SC13CQ!C49</f>
        <v>0</v>
      </c>
      <c r="E52" s="331">
        <f>SC13CQ!D49</f>
        <v>0</v>
      </c>
      <c r="F52" s="704">
        <f>SC13CQ!E49</f>
        <v>0</v>
      </c>
      <c r="G52" s="331">
        <f>SC13CQ!F49</f>
        <v>0</v>
      </c>
      <c r="H52" s="704">
        <f>SC13CQ!G49</f>
        <v>0</v>
      </c>
      <c r="I52" s="34">
        <f t="shared" si="6"/>
        <v>0</v>
      </c>
      <c r="J52" s="148" t="str">
        <f t="shared" si="2"/>
        <v/>
      </c>
      <c r="K52" s="367">
        <f>SC13CQ!J49</f>
        <v>0</v>
      </c>
    </row>
    <row r="53" spans="1:11" x14ac:dyDescent="0.25">
      <c r="A53" s="30" t="s">
        <v>1158</v>
      </c>
      <c r="B53" s="90"/>
      <c r="C53" s="74">
        <f t="shared" ref="C53:H53" si="11">SUM(C54:C62)</f>
        <v>547495.63</v>
      </c>
      <c r="D53" s="489">
        <f t="shared" si="11"/>
        <v>1391200</v>
      </c>
      <c r="E53" s="34">
        <f t="shared" si="11"/>
        <v>1391200</v>
      </c>
      <c r="F53" s="33">
        <f t="shared" si="11"/>
        <v>108350</v>
      </c>
      <c r="G53" s="34">
        <f t="shared" si="11"/>
        <v>108350</v>
      </c>
      <c r="H53" s="33">
        <f t="shared" si="11"/>
        <v>590000</v>
      </c>
      <c r="I53" s="34">
        <f t="shared" si="6"/>
        <v>481650</v>
      </c>
      <c r="J53" s="148">
        <f t="shared" si="2"/>
        <v>0.81635593220338987</v>
      </c>
      <c r="K53" s="35">
        <f>SUM(K54:K62)</f>
        <v>1391200</v>
      </c>
    </row>
    <row r="54" spans="1:11" x14ac:dyDescent="0.25">
      <c r="A54" s="606" t="s">
        <v>1159</v>
      </c>
      <c r="B54" s="90"/>
      <c r="C54" s="744">
        <f>SC13CQ!B51</f>
        <v>547495.63</v>
      </c>
      <c r="D54" s="744">
        <f>SC13CQ!C51</f>
        <v>1391200</v>
      </c>
      <c r="E54" s="331">
        <f>SC13CQ!D51</f>
        <v>1391200</v>
      </c>
      <c r="F54" s="704">
        <f>SC13CQ!E51</f>
        <v>108350</v>
      </c>
      <c r="G54" s="331">
        <f>SC13CQ!F51</f>
        <v>108350</v>
      </c>
      <c r="H54" s="704">
        <f>SC13CQ!G51</f>
        <v>590000</v>
      </c>
      <c r="I54" s="34">
        <f t="shared" si="6"/>
        <v>481650</v>
      </c>
      <c r="J54" s="148">
        <f t="shared" si="2"/>
        <v>0.81635593220338987</v>
      </c>
      <c r="K54" s="367">
        <f>SC13CQ!J51</f>
        <v>1391200</v>
      </c>
    </row>
    <row r="55" spans="1:11" x14ac:dyDescent="0.25">
      <c r="A55" s="606" t="s">
        <v>1160</v>
      </c>
      <c r="B55" s="90"/>
      <c r="C55" s="744">
        <f>SC13CQ!B52</f>
        <v>0</v>
      </c>
      <c r="D55" s="744">
        <f>SC13CQ!C52</f>
        <v>0</v>
      </c>
      <c r="E55" s="331">
        <f>SC13CQ!D52</f>
        <v>0</v>
      </c>
      <c r="F55" s="704">
        <f>SC13CQ!E52</f>
        <v>0</v>
      </c>
      <c r="G55" s="331">
        <f>SC13CQ!F52</f>
        <v>0</v>
      </c>
      <c r="H55" s="704">
        <f>SC13CQ!G52</f>
        <v>0</v>
      </c>
      <c r="I55" s="34">
        <f t="shared" si="6"/>
        <v>0</v>
      </c>
      <c r="J55" s="148" t="str">
        <f t="shared" si="2"/>
        <v/>
      </c>
      <c r="K55" s="367">
        <f>SC13CQ!J52</f>
        <v>0</v>
      </c>
    </row>
    <row r="56" spans="1:11" x14ac:dyDescent="0.25">
      <c r="A56" s="606" t="s">
        <v>1161</v>
      </c>
      <c r="B56" s="90"/>
      <c r="C56" s="744">
        <f>SC13CQ!B53</f>
        <v>0</v>
      </c>
      <c r="D56" s="744">
        <f>SC13CQ!C53</f>
        <v>0</v>
      </c>
      <c r="E56" s="331">
        <f>SC13CQ!D53</f>
        <v>0</v>
      </c>
      <c r="F56" s="704">
        <f>SC13CQ!E53</f>
        <v>0</v>
      </c>
      <c r="G56" s="331">
        <f>SC13CQ!F53</f>
        <v>0</v>
      </c>
      <c r="H56" s="704">
        <f>SC13CQ!G53</f>
        <v>0</v>
      </c>
      <c r="I56" s="34">
        <f t="shared" si="6"/>
        <v>0</v>
      </c>
      <c r="J56" s="148" t="str">
        <f t="shared" si="2"/>
        <v/>
      </c>
      <c r="K56" s="367">
        <f>SC13CQ!J53</f>
        <v>0</v>
      </c>
    </row>
    <row r="57" spans="1:11" x14ac:dyDescent="0.25">
      <c r="A57" s="606" t="s">
        <v>1124</v>
      </c>
      <c r="B57" s="90"/>
      <c r="C57" s="744">
        <f>SC13CQ!B54</f>
        <v>0</v>
      </c>
      <c r="D57" s="744">
        <f>SC13CQ!C54</f>
        <v>0</v>
      </c>
      <c r="E57" s="331">
        <f>SC13CQ!D54</f>
        <v>0</v>
      </c>
      <c r="F57" s="704">
        <f>SC13CQ!E54</f>
        <v>0</v>
      </c>
      <c r="G57" s="331">
        <f>SC13CQ!F54</f>
        <v>0</v>
      </c>
      <c r="H57" s="704">
        <f>SC13CQ!G54</f>
        <v>0</v>
      </c>
      <c r="I57" s="34">
        <f t="shared" si="6"/>
        <v>0</v>
      </c>
      <c r="J57" s="148" t="str">
        <f t="shared" si="2"/>
        <v/>
      </c>
      <c r="K57" s="367">
        <f>SC13CQ!J54</f>
        <v>0</v>
      </c>
    </row>
    <row r="58" spans="1:11" x14ac:dyDescent="0.25">
      <c r="A58" s="606" t="s">
        <v>1125</v>
      </c>
      <c r="B58" s="90"/>
      <c r="C58" s="744">
        <f>SC13CQ!B55</f>
        <v>0</v>
      </c>
      <c r="D58" s="744">
        <f>SC13CQ!C55</f>
        <v>0</v>
      </c>
      <c r="E58" s="331">
        <f>SC13CQ!D55</f>
        <v>0</v>
      </c>
      <c r="F58" s="704">
        <f>SC13CQ!E55</f>
        <v>0</v>
      </c>
      <c r="G58" s="331">
        <f>SC13CQ!F55</f>
        <v>0</v>
      </c>
      <c r="H58" s="704">
        <f>SC13CQ!G55</f>
        <v>0</v>
      </c>
      <c r="I58" s="34">
        <f t="shared" si="6"/>
        <v>0</v>
      </c>
      <c r="J58" s="148" t="str">
        <f t="shared" si="2"/>
        <v/>
      </c>
      <c r="K58" s="367">
        <f>SC13CQ!J55</f>
        <v>0</v>
      </c>
    </row>
    <row r="59" spans="1:11" x14ac:dyDescent="0.25">
      <c r="A59" s="606" t="s">
        <v>1126</v>
      </c>
      <c r="B59" s="90"/>
      <c r="C59" s="744">
        <f>SC13CQ!B56</f>
        <v>0</v>
      </c>
      <c r="D59" s="744">
        <f>SC13CQ!C56</f>
        <v>0</v>
      </c>
      <c r="E59" s="331">
        <f>SC13CQ!D56</f>
        <v>0</v>
      </c>
      <c r="F59" s="704">
        <f>SC13CQ!E56</f>
        <v>0</v>
      </c>
      <c r="G59" s="331">
        <f>SC13CQ!F56</f>
        <v>0</v>
      </c>
      <c r="H59" s="704">
        <f>SC13CQ!G56</f>
        <v>0</v>
      </c>
      <c r="I59" s="34">
        <f t="shared" si="6"/>
        <v>0</v>
      </c>
      <c r="J59" s="148" t="str">
        <f t="shared" si="2"/>
        <v/>
      </c>
      <c r="K59" s="367">
        <f>SC13CQ!J56</f>
        <v>0</v>
      </c>
    </row>
    <row r="60" spans="1:11" x14ac:dyDescent="0.25">
      <c r="A60" s="606" t="s">
        <v>1132</v>
      </c>
      <c r="B60" s="90"/>
      <c r="C60" s="744">
        <f>SC13CQ!B57</f>
        <v>0</v>
      </c>
      <c r="D60" s="744">
        <f>SC13CQ!C57</f>
        <v>0</v>
      </c>
      <c r="E60" s="331">
        <f>SC13CQ!D57</f>
        <v>0</v>
      </c>
      <c r="F60" s="704">
        <f>SC13CQ!E57</f>
        <v>0</v>
      </c>
      <c r="G60" s="331">
        <f>SC13CQ!F57</f>
        <v>0</v>
      </c>
      <c r="H60" s="704">
        <f>SC13CQ!G57</f>
        <v>0</v>
      </c>
      <c r="I60" s="34">
        <f t="shared" si="6"/>
        <v>0</v>
      </c>
      <c r="J60" s="148" t="str">
        <f t="shared" si="2"/>
        <v/>
      </c>
      <c r="K60" s="367">
        <f>SC13CQ!J57</f>
        <v>0</v>
      </c>
    </row>
    <row r="61" spans="1:11" x14ac:dyDescent="0.25">
      <c r="A61" s="606" t="s">
        <v>1135</v>
      </c>
      <c r="B61" s="90"/>
      <c r="C61" s="744">
        <f>SC13CQ!B58</f>
        <v>0</v>
      </c>
      <c r="D61" s="744">
        <f>SC13CQ!C58</f>
        <v>0</v>
      </c>
      <c r="E61" s="331">
        <f>SC13CQ!D58</f>
        <v>0</v>
      </c>
      <c r="F61" s="704">
        <f>SC13CQ!E58</f>
        <v>0</v>
      </c>
      <c r="G61" s="331">
        <f>SC13CQ!F58</f>
        <v>0</v>
      </c>
      <c r="H61" s="704">
        <f>SC13CQ!G58</f>
        <v>0</v>
      </c>
      <c r="I61" s="34">
        <f t="shared" si="6"/>
        <v>0</v>
      </c>
      <c r="J61" s="148" t="str">
        <f t="shared" si="2"/>
        <v/>
      </c>
      <c r="K61" s="367">
        <f>SC13CQ!J58</f>
        <v>0</v>
      </c>
    </row>
    <row r="62" spans="1:11" x14ac:dyDescent="0.25">
      <c r="A62" s="606" t="s">
        <v>1122</v>
      </c>
      <c r="B62" s="90"/>
      <c r="C62" s="744">
        <f>SC13CQ!B59</f>
        <v>0</v>
      </c>
      <c r="D62" s="744">
        <f>SC13CQ!C59</f>
        <v>0</v>
      </c>
      <c r="E62" s="331">
        <f>SC13CQ!D59</f>
        <v>0</v>
      </c>
      <c r="F62" s="704">
        <f>SC13CQ!E59</f>
        <v>0</v>
      </c>
      <c r="G62" s="331">
        <f>SC13CQ!F59</f>
        <v>0</v>
      </c>
      <c r="H62" s="704">
        <f>SC13CQ!G59</f>
        <v>0</v>
      </c>
      <c r="I62" s="34">
        <f t="shared" si="6"/>
        <v>0</v>
      </c>
      <c r="J62" s="148" t="str">
        <f t="shared" si="2"/>
        <v/>
      </c>
      <c r="K62" s="367">
        <f>SC13CQ!J59</f>
        <v>0</v>
      </c>
    </row>
    <row r="63" spans="1:11" x14ac:dyDescent="0.25">
      <c r="A63" s="30" t="s">
        <v>1162</v>
      </c>
      <c r="B63" s="90"/>
      <c r="C63" s="74">
        <f t="shared" ref="C63:H63" si="12">SUM(C64:C68)</f>
        <v>0</v>
      </c>
      <c r="D63" s="489">
        <f t="shared" si="12"/>
        <v>0</v>
      </c>
      <c r="E63" s="34">
        <f t="shared" si="12"/>
        <v>0</v>
      </c>
      <c r="F63" s="33">
        <f t="shared" si="12"/>
        <v>0</v>
      </c>
      <c r="G63" s="34">
        <f t="shared" si="12"/>
        <v>0</v>
      </c>
      <c r="H63" s="33">
        <f t="shared" si="12"/>
        <v>0</v>
      </c>
      <c r="I63" s="34">
        <f t="shared" si="6"/>
        <v>0</v>
      </c>
      <c r="J63" s="148" t="str">
        <f t="shared" si="2"/>
        <v/>
      </c>
      <c r="K63" s="35">
        <f>SUM(K64:K68)</f>
        <v>0</v>
      </c>
    </row>
    <row r="64" spans="1:11" x14ac:dyDescent="0.25">
      <c r="A64" s="606" t="s">
        <v>1163</v>
      </c>
      <c r="B64" s="90"/>
      <c r="C64" s="744">
        <f>SC13CQ!B61</f>
        <v>0</v>
      </c>
      <c r="D64" s="744">
        <f>SC13CQ!C61</f>
        <v>0</v>
      </c>
      <c r="E64" s="331">
        <f>SC13CQ!D61</f>
        <v>0</v>
      </c>
      <c r="F64" s="704">
        <f>SC13CQ!E61</f>
        <v>0</v>
      </c>
      <c r="G64" s="331">
        <f>SC13CQ!F61</f>
        <v>0</v>
      </c>
      <c r="H64" s="704">
        <f>SC13CQ!G61</f>
        <v>0</v>
      </c>
      <c r="I64" s="34">
        <f t="shared" si="6"/>
        <v>0</v>
      </c>
      <c r="J64" s="148" t="str">
        <f t="shared" si="2"/>
        <v/>
      </c>
      <c r="K64" s="367">
        <f>SC13CQ!J61</f>
        <v>0</v>
      </c>
    </row>
    <row r="65" spans="1:11" x14ac:dyDescent="0.25">
      <c r="A65" s="606" t="s">
        <v>1164</v>
      </c>
      <c r="B65" s="90"/>
      <c r="C65" s="744">
        <f>SC13CQ!B62</f>
        <v>0</v>
      </c>
      <c r="D65" s="744">
        <f>SC13CQ!C62</f>
        <v>0</v>
      </c>
      <c r="E65" s="331">
        <f>SC13CQ!D62</f>
        <v>0</v>
      </c>
      <c r="F65" s="704">
        <f>SC13CQ!E62</f>
        <v>0</v>
      </c>
      <c r="G65" s="331">
        <f>SC13CQ!F62</f>
        <v>0</v>
      </c>
      <c r="H65" s="704">
        <f>SC13CQ!G62</f>
        <v>0</v>
      </c>
      <c r="I65" s="34">
        <f t="shared" si="6"/>
        <v>0</v>
      </c>
      <c r="J65" s="148" t="str">
        <f t="shared" si="2"/>
        <v/>
      </c>
      <c r="K65" s="367">
        <f>SC13CQ!J62</f>
        <v>0</v>
      </c>
    </row>
    <row r="66" spans="1:11" x14ac:dyDescent="0.25">
      <c r="A66" s="606" t="s">
        <v>1165</v>
      </c>
      <c r="B66" s="90"/>
      <c r="C66" s="744">
        <f>SC13CQ!B63</f>
        <v>0</v>
      </c>
      <c r="D66" s="744">
        <f>SC13CQ!C63</f>
        <v>0</v>
      </c>
      <c r="E66" s="331">
        <f>SC13CQ!D63</f>
        <v>0</v>
      </c>
      <c r="F66" s="704">
        <f>SC13CQ!E63</f>
        <v>0</v>
      </c>
      <c r="G66" s="331">
        <f>SC13CQ!F63</f>
        <v>0</v>
      </c>
      <c r="H66" s="704">
        <f>SC13CQ!G63</f>
        <v>0</v>
      </c>
      <c r="I66" s="34">
        <f t="shared" si="6"/>
        <v>0</v>
      </c>
      <c r="J66" s="148" t="str">
        <f t="shared" si="2"/>
        <v/>
      </c>
      <c r="K66" s="367">
        <f>SC13CQ!J63</f>
        <v>0</v>
      </c>
    </row>
    <row r="67" spans="1:11" x14ac:dyDescent="0.25">
      <c r="A67" s="606" t="s">
        <v>1166</v>
      </c>
      <c r="B67" s="90"/>
      <c r="C67" s="744">
        <f>SC13CQ!B64</f>
        <v>0</v>
      </c>
      <c r="D67" s="744">
        <f>SC13CQ!C64</f>
        <v>0</v>
      </c>
      <c r="E67" s="331">
        <f>SC13CQ!D64</f>
        <v>0</v>
      </c>
      <c r="F67" s="704">
        <f>SC13CQ!E64</f>
        <v>0</v>
      </c>
      <c r="G67" s="331">
        <f>SC13CQ!F64</f>
        <v>0</v>
      </c>
      <c r="H67" s="704">
        <f>SC13CQ!G64</f>
        <v>0</v>
      </c>
      <c r="I67" s="34">
        <f t="shared" si="6"/>
        <v>0</v>
      </c>
      <c r="J67" s="148" t="str">
        <f t="shared" si="2"/>
        <v/>
      </c>
      <c r="K67" s="367">
        <f>SC13CQ!J64</f>
        <v>0</v>
      </c>
    </row>
    <row r="68" spans="1:11" x14ac:dyDescent="0.25">
      <c r="A68" s="606" t="s">
        <v>1122</v>
      </c>
      <c r="B68" s="90"/>
      <c r="C68" s="744">
        <f>SC13CQ!B65</f>
        <v>0</v>
      </c>
      <c r="D68" s="744">
        <f>SC13CQ!C65</f>
        <v>0</v>
      </c>
      <c r="E68" s="331">
        <f>SC13CQ!D65</f>
        <v>0</v>
      </c>
      <c r="F68" s="704">
        <f>SC13CQ!E65</f>
        <v>0</v>
      </c>
      <c r="G68" s="331">
        <f>SC13CQ!F65</f>
        <v>0</v>
      </c>
      <c r="H68" s="704">
        <f>SC13CQ!G65</f>
        <v>0</v>
      </c>
      <c r="I68" s="34">
        <f t="shared" si="6"/>
        <v>0</v>
      </c>
      <c r="J68" s="148" t="str">
        <f t="shared" si="2"/>
        <v/>
      </c>
      <c r="K68" s="367">
        <f>SC13CQ!J65</f>
        <v>0</v>
      </c>
    </row>
    <row r="69" spans="1:11" x14ac:dyDescent="0.25">
      <c r="A69" s="30" t="s">
        <v>1167</v>
      </c>
      <c r="B69" s="90"/>
      <c r="C69" s="74">
        <f t="shared" ref="C69:H69" si="13">SUM(C70:C73)</f>
        <v>0</v>
      </c>
      <c r="D69" s="489">
        <f t="shared" si="13"/>
        <v>0</v>
      </c>
      <c r="E69" s="34">
        <f t="shared" si="13"/>
        <v>0</v>
      </c>
      <c r="F69" s="33">
        <f t="shared" si="13"/>
        <v>0</v>
      </c>
      <c r="G69" s="34">
        <f t="shared" si="13"/>
        <v>0</v>
      </c>
      <c r="H69" s="33">
        <f t="shared" si="13"/>
        <v>0</v>
      </c>
      <c r="I69" s="34">
        <f t="shared" si="6"/>
        <v>0</v>
      </c>
      <c r="J69" s="148" t="str">
        <f t="shared" si="2"/>
        <v/>
      </c>
      <c r="K69" s="35">
        <f>SUM(K70:K73)</f>
        <v>0</v>
      </c>
    </row>
    <row r="70" spans="1:11" x14ac:dyDescent="0.25">
      <c r="A70" s="606" t="s">
        <v>1168</v>
      </c>
      <c r="B70" s="90"/>
      <c r="C70" s="744">
        <f>SC13CQ!B67</f>
        <v>0</v>
      </c>
      <c r="D70" s="744">
        <f>SC13CQ!C67</f>
        <v>0</v>
      </c>
      <c r="E70" s="331">
        <f>SC13CQ!D67</f>
        <v>0</v>
      </c>
      <c r="F70" s="704">
        <f>SC13CQ!E67</f>
        <v>0</v>
      </c>
      <c r="G70" s="331">
        <f>SC13CQ!F67</f>
        <v>0</v>
      </c>
      <c r="H70" s="704">
        <f>SC13CQ!G67</f>
        <v>0</v>
      </c>
      <c r="I70" s="34">
        <f t="shared" si="6"/>
        <v>0</v>
      </c>
      <c r="J70" s="148" t="str">
        <f t="shared" si="2"/>
        <v/>
      </c>
      <c r="K70" s="367">
        <f>SC13CQ!J67</f>
        <v>0</v>
      </c>
    </row>
    <row r="71" spans="1:11" x14ac:dyDescent="0.25">
      <c r="A71" s="606" t="s">
        <v>1169</v>
      </c>
      <c r="B71" s="90"/>
      <c r="C71" s="744">
        <f>SC13CQ!B68</f>
        <v>0</v>
      </c>
      <c r="D71" s="744">
        <f>SC13CQ!C68</f>
        <v>0</v>
      </c>
      <c r="E71" s="331">
        <f>SC13CQ!D68</f>
        <v>0</v>
      </c>
      <c r="F71" s="704">
        <f>SC13CQ!E68</f>
        <v>0</v>
      </c>
      <c r="G71" s="331">
        <f>SC13CQ!F68</f>
        <v>0</v>
      </c>
      <c r="H71" s="704">
        <f>SC13CQ!G68</f>
        <v>0</v>
      </c>
      <c r="I71" s="34">
        <f t="shared" si="6"/>
        <v>0</v>
      </c>
      <c r="J71" s="148" t="str">
        <f t="shared" ref="J71:J110" si="14">IF(I71=0,"",I71/H71)</f>
        <v/>
      </c>
      <c r="K71" s="367">
        <f>SC13CQ!J68</f>
        <v>0</v>
      </c>
    </row>
    <row r="72" spans="1:11" x14ac:dyDescent="0.25">
      <c r="A72" s="606" t="s">
        <v>1170</v>
      </c>
      <c r="B72" s="90"/>
      <c r="C72" s="744">
        <f>SC13CQ!B69</f>
        <v>0</v>
      </c>
      <c r="D72" s="744">
        <f>SC13CQ!C69</f>
        <v>0</v>
      </c>
      <c r="E72" s="331">
        <f>SC13CQ!D69</f>
        <v>0</v>
      </c>
      <c r="F72" s="704">
        <f>SC13CQ!E69</f>
        <v>0</v>
      </c>
      <c r="G72" s="331">
        <f>SC13CQ!F69</f>
        <v>0</v>
      </c>
      <c r="H72" s="704">
        <f>SC13CQ!G69</f>
        <v>0</v>
      </c>
      <c r="I72" s="34">
        <f t="shared" si="6"/>
        <v>0</v>
      </c>
      <c r="J72" s="148" t="str">
        <f t="shared" si="14"/>
        <v/>
      </c>
      <c r="K72" s="367">
        <f>SC13CQ!J69</f>
        <v>0</v>
      </c>
    </row>
    <row r="73" spans="1:11" x14ac:dyDescent="0.25">
      <c r="A73" s="606" t="s">
        <v>1122</v>
      </c>
      <c r="B73" s="90"/>
      <c r="C73" s="744">
        <f>SC13CQ!B70</f>
        <v>0</v>
      </c>
      <c r="D73" s="744">
        <f>SC13CQ!C70</f>
        <v>0</v>
      </c>
      <c r="E73" s="331">
        <f>SC13CQ!D70</f>
        <v>0</v>
      </c>
      <c r="F73" s="704">
        <f>SC13CQ!E70</f>
        <v>0</v>
      </c>
      <c r="G73" s="331">
        <f>SC13CQ!F70</f>
        <v>0</v>
      </c>
      <c r="H73" s="704">
        <f>SC13CQ!G70</f>
        <v>0</v>
      </c>
      <c r="I73" s="34">
        <f t="shared" si="6"/>
        <v>0</v>
      </c>
      <c r="J73" s="148" t="str">
        <f t="shared" si="14"/>
        <v/>
      </c>
      <c r="K73" s="367">
        <f>SC13CQ!J70</f>
        <v>0</v>
      </c>
    </row>
    <row r="74" spans="1:11" x14ac:dyDescent="0.25">
      <c r="A74" s="606"/>
      <c r="B74" s="90"/>
      <c r="C74" s="74"/>
      <c r="D74" s="489"/>
      <c r="E74" s="34"/>
      <c r="F74" s="33"/>
      <c r="G74" s="34"/>
      <c r="H74" s="33"/>
      <c r="I74" s="34">
        <f t="shared" si="6"/>
        <v>0</v>
      </c>
      <c r="J74" s="148" t="str">
        <f t="shared" si="14"/>
        <v/>
      </c>
      <c r="K74" s="35"/>
    </row>
    <row r="75" spans="1:11" x14ac:dyDescent="0.25">
      <c r="A75" s="29" t="s">
        <v>1191</v>
      </c>
      <c r="B75" s="90"/>
      <c r="C75" s="220">
        <f t="shared" ref="C75:H75" si="15">+C76+C99</f>
        <v>33622415.299999997</v>
      </c>
      <c r="D75" s="737">
        <f t="shared" si="15"/>
        <v>77051700</v>
      </c>
      <c r="E75" s="221">
        <f t="shared" si="15"/>
        <v>81663200</v>
      </c>
      <c r="F75" s="737">
        <f t="shared" si="15"/>
        <v>901279.69</v>
      </c>
      <c r="G75" s="221">
        <f t="shared" si="15"/>
        <v>9994251.6300000008</v>
      </c>
      <c r="H75" s="737">
        <f t="shared" si="15"/>
        <v>26320252.330000002</v>
      </c>
      <c r="I75" s="34">
        <f t="shared" si="6"/>
        <v>16326000.700000001</v>
      </c>
      <c r="J75" s="148">
        <f t="shared" si="14"/>
        <v>0.62028283373983895</v>
      </c>
      <c r="K75" s="734">
        <f>+K76+K99</f>
        <v>81663200</v>
      </c>
    </row>
    <row r="76" spans="1:11" x14ac:dyDescent="0.25">
      <c r="A76" s="30" t="s">
        <v>1171</v>
      </c>
      <c r="B76" s="90"/>
      <c r="C76" s="74">
        <f t="shared" ref="C76:H76" si="16">SUM(C77:C98)</f>
        <v>32703248.539999999</v>
      </c>
      <c r="D76" s="489">
        <f t="shared" si="16"/>
        <v>74622900</v>
      </c>
      <c r="E76" s="34">
        <f t="shared" si="16"/>
        <v>79380000</v>
      </c>
      <c r="F76" s="33">
        <f t="shared" si="16"/>
        <v>901279.69</v>
      </c>
      <c r="G76" s="34">
        <f t="shared" si="16"/>
        <v>9275502.7300000004</v>
      </c>
      <c r="H76" s="33">
        <f t="shared" si="16"/>
        <v>25352069.430000003</v>
      </c>
      <c r="I76" s="34">
        <f t="shared" si="6"/>
        <v>16076566.700000003</v>
      </c>
      <c r="J76" s="148">
        <f t="shared" si="14"/>
        <v>0.63413232376904238</v>
      </c>
      <c r="K76" s="35">
        <f>SUM(K77:K98)</f>
        <v>79380000</v>
      </c>
    </row>
    <row r="77" spans="1:11" x14ac:dyDescent="0.25">
      <c r="A77" s="606" t="s">
        <v>1172</v>
      </c>
      <c r="B77" s="90"/>
      <c r="C77" s="744">
        <f>SC13CQ!B73</f>
        <v>563774.86</v>
      </c>
      <c r="D77" s="744">
        <f>SC13CQ!C73</f>
        <v>773700</v>
      </c>
      <c r="E77" s="331">
        <f>SC13CQ!D73</f>
        <v>723700</v>
      </c>
      <c r="F77" s="704">
        <f>SC13CQ!E73</f>
        <v>58410</v>
      </c>
      <c r="G77" s="331">
        <f>SC13CQ!F73</f>
        <v>502346.37</v>
      </c>
      <c r="H77" s="704">
        <f>SC13CQ!G73</f>
        <v>771636.37</v>
      </c>
      <c r="I77" s="34">
        <f t="shared" si="6"/>
        <v>269290</v>
      </c>
      <c r="J77" s="148">
        <f t="shared" si="14"/>
        <v>0.34898562388913834</v>
      </c>
      <c r="K77" s="367">
        <f>SC13CQ!J73</f>
        <v>723700</v>
      </c>
    </row>
    <row r="78" spans="1:11" x14ac:dyDescent="0.25">
      <c r="A78" s="606" t="s">
        <v>1173</v>
      </c>
      <c r="B78" s="90"/>
      <c r="C78" s="744">
        <f>SC13CQ!B74</f>
        <v>0</v>
      </c>
      <c r="D78" s="744">
        <f>SC13CQ!C74</f>
        <v>0</v>
      </c>
      <c r="E78" s="331">
        <f>SC13CQ!D74</f>
        <v>0</v>
      </c>
      <c r="F78" s="704">
        <f>SC13CQ!E74</f>
        <v>0</v>
      </c>
      <c r="G78" s="331">
        <f>SC13CQ!F74</f>
        <v>0</v>
      </c>
      <c r="H78" s="704">
        <f>SC13CQ!G74</f>
        <v>0</v>
      </c>
      <c r="I78" s="34">
        <f t="shared" si="6"/>
        <v>0</v>
      </c>
      <c r="J78" s="148" t="str">
        <f t="shared" si="14"/>
        <v/>
      </c>
      <c r="K78" s="367">
        <f>SC13CQ!J74</f>
        <v>0</v>
      </c>
    </row>
    <row r="79" spans="1:11" x14ac:dyDescent="0.25">
      <c r="A79" s="606" t="s">
        <v>1174</v>
      </c>
      <c r="B79" s="90"/>
      <c r="C79" s="744">
        <f>SC13CQ!B75</f>
        <v>0</v>
      </c>
      <c r="D79" s="744">
        <f>SC13CQ!C75</f>
        <v>0</v>
      </c>
      <c r="E79" s="331">
        <f>SC13CQ!D75</f>
        <v>0</v>
      </c>
      <c r="F79" s="704">
        <f>SC13CQ!E75</f>
        <v>0</v>
      </c>
      <c r="G79" s="331">
        <f>SC13CQ!F75</f>
        <v>0</v>
      </c>
      <c r="H79" s="704">
        <f>SC13CQ!G75</f>
        <v>0</v>
      </c>
      <c r="I79" s="34">
        <f t="shared" ref="I79:I142" si="17">H79-G79</f>
        <v>0</v>
      </c>
      <c r="J79" s="148" t="str">
        <f t="shared" si="14"/>
        <v/>
      </c>
      <c r="K79" s="367">
        <f>SC13CQ!J75</f>
        <v>0</v>
      </c>
    </row>
    <row r="80" spans="1:11" x14ac:dyDescent="0.25">
      <c r="A80" s="606" t="s">
        <v>1175</v>
      </c>
      <c r="B80" s="90"/>
      <c r="C80" s="744">
        <f>SC13CQ!B76</f>
        <v>0</v>
      </c>
      <c r="D80" s="744">
        <f>SC13CQ!C76</f>
        <v>0</v>
      </c>
      <c r="E80" s="331">
        <f>SC13CQ!D76</f>
        <v>0</v>
      </c>
      <c r="F80" s="704">
        <f>SC13CQ!E76</f>
        <v>0</v>
      </c>
      <c r="G80" s="331">
        <f>SC13CQ!F76</f>
        <v>0</v>
      </c>
      <c r="H80" s="704">
        <f>SC13CQ!G76</f>
        <v>0</v>
      </c>
      <c r="I80" s="34">
        <f t="shared" si="17"/>
        <v>0</v>
      </c>
      <c r="J80" s="148" t="str">
        <f t="shared" si="14"/>
        <v/>
      </c>
      <c r="K80" s="367">
        <f>SC13CQ!J76</f>
        <v>0</v>
      </c>
    </row>
    <row r="81" spans="1:11" x14ac:dyDescent="0.25">
      <c r="A81" s="606" t="s">
        <v>1176</v>
      </c>
      <c r="B81" s="90"/>
      <c r="C81" s="744">
        <f>SC13CQ!B77</f>
        <v>120738.54</v>
      </c>
      <c r="D81" s="744">
        <f>SC13CQ!C77</f>
        <v>2076000</v>
      </c>
      <c r="E81" s="331">
        <f>SC13CQ!D77</f>
        <v>283100</v>
      </c>
      <c r="F81" s="704">
        <f>SC13CQ!E77</f>
        <v>0</v>
      </c>
      <c r="G81" s="331">
        <f>SC13CQ!F77</f>
        <v>226905.3</v>
      </c>
      <c r="H81" s="704">
        <f>SC13CQ!G77</f>
        <v>558605.30000000005</v>
      </c>
      <c r="I81" s="34">
        <f t="shared" si="17"/>
        <v>331700.00000000006</v>
      </c>
      <c r="J81" s="148">
        <f t="shared" si="14"/>
        <v>0.59380030944926598</v>
      </c>
      <c r="K81" s="367">
        <f>SC13CQ!J77</f>
        <v>283100</v>
      </c>
    </row>
    <row r="82" spans="1:11" x14ac:dyDescent="0.25">
      <c r="A82" s="606" t="s">
        <v>1177</v>
      </c>
      <c r="B82" s="90"/>
      <c r="C82" s="744">
        <f>SC13CQ!B78</f>
        <v>0</v>
      </c>
      <c r="D82" s="744">
        <f>SC13CQ!C78</f>
        <v>0</v>
      </c>
      <c r="E82" s="331">
        <f>SC13CQ!D78</f>
        <v>0</v>
      </c>
      <c r="F82" s="704">
        <f>SC13CQ!E78</f>
        <v>0</v>
      </c>
      <c r="G82" s="331">
        <f>SC13CQ!F78</f>
        <v>0</v>
      </c>
      <c r="H82" s="704">
        <f>SC13CQ!G78</f>
        <v>0</v>
      </c>
      <c r="I82" s="34">
        <f t="shared" si="17"/>
        <v>0</v>
      </c>
      <c r="J82" s="148" t="str">
        <f t="shared" si="14"/>
        <v/>
      </c>
      <c r="K82" s="367">
        <f>SC13CQ!J78</f>
        <v>0</v>
      </c>
    </row>
    <row r="83" spans="1:11" x14ac:dyDescent="0.25">
      <c r="A83" s="606" t="s">
        <v>1178</v>
      </c>
      <c r="B83" s="90"/>
      <c r="C83" s="744">
        <f>SC13CQ!B79</f>
        <v>0</v>
      </c>
      <c r="D83" s="744">
        <f>SC13CQ!C79</f>
        <v>0</v>
      </c>
      <c r="E83" s="331">
        <f>SC13CQ!D79</f>
        <v>0</v>
      </c>
      <c r="F83" s="704">
        <f>SC13CQ!E79</f>
        <v>0</v>
      </c>
      <c r="G83" s="331">
        <f>SC13CQ!F79</f>
        <v>0</v>
      </c>
      <c r="H83" s="704">
        <f>SC13CQ!G79</f>
        <v>0</v>
      </c>
      <c r="I83" s="34">
        <f t="shared" si="17"/>
        <v>0</v>
      </c>
      <c r="J83" s="148" t="str">
        <f t="shared" si="14"/>
        <v/>
      </c>
      <c r="K83" s="367">
        <f>SC13CQ!J79</f>
        <v>0</v>
      </c>
    </row>
    <row r="84" spans="1:11" x14ac:dyDescent="0.25">
      <c r="A84" s="606" t="s">
        <v>1179</v>
      </c>
      <c r="B84" s="90"/>
      <c r="C84" s="744">
        <f>SC13CQ!B80</f>
        <v>0</v>
      </c>
      <c r="D84" s="744">
        <f>SC13CQ!C80</f>
        <v>0</v>
      </c>
      <c r="E84" s="331">
        <f>SC13CQ!D80</f>
        <v>0</v>
      </c>
      <c r="F84" s="704">
        <f>SC13CQ!E80</f>
        <v>0</v>
      </c>
      <c r="G84" s="331">
        <f>SC13CQ!F80</f>
        <v>0</v>
      </c>
      <c r="H84" s="704">
        <f>SC13CQ!G80</f>
        <v>0</v>
      </c>
      <c r="I84" s="34">
        <f t="shared" si="17"/>
        <v>0</v>
      </c>
      <c r="J84" s="148" t="str">
        <f t="shared" si="14"/>
        <v/>
      </c>
      <c r="K84" s="367">
        <f>SC13CQ!J80</f>
        <v>0</v>
      </c>
    </row>
    <row r="85" spans="1:11" x14ac:dyDescent="0.25">
      <c r="A85" s="606" t="s">
        <v>1055</v>
      </c>
      <c r="B85" s="90"/>
      <c r="C85" s="744">
        <f>SC13CQ!B81</f>
        <v>0</v>
      </c>
      <c r="D85" s="744">
        <f>SC13CQ!C81</f>
        <v>0</v>
      </c>
      <c r="E85" s="331">
        <f>SC13CQ!D81</f>
        <v>0</v>
      </c>
      <c r="F85" s="704">
        <f>SC13CQ!E81</f>
        <v>0</v>
      </c>
      <c r="G85" s="331">
        <f>SC13CQ!F81</f>
        <v>0</v>
      </c>
      <c r="H85" s="704">
        <f>SC13CQ!G81</f>
        <v>0</v>
      </c>
      <c r="I85" s="34">
        <f t="shared" si="17"/>
        <v>0</v>
      </c>
      <c r="J85" s="148" t="str">
        <f t="shared" si="14"/>
        <v/>
      </c>
      <c r="K85" s="367">
        <f>SC13CQ!J81</f>
        <v>0</v>
      </c>
    </row>
    <row r="86" spans="1:11" x14ac:dyDescent="0.25">
      <c r="A86" s="606" t="s">
        <v>508</v>
      </c>
      <c r="B86" s="90"/>
      <c r="C86" s="744">
        <f>SC13CQ!B82</f>
        <v>149439.04000000001</v>
      </c>
      <c r="D86" s="744">
        <f>SC13CQ!C82</f>
        <v>368200</v>
      </c>
      <c r="E86" s="331">
        <f>SC13CQ!D82</f>
        <v>368200</v>
      </c>
      <c r="F86" s="704">
        <f>SC13CQ!E82</f>
        <v>0</v>
      </c>
      <c r="G86" s="331">
        <f>SC13CQ!F82</f>
        <v>448973.59</v>
      </c>
      <c r="H86" s="704">
        <f>SC13CQ!G82</f>
        <v>530973.59</v>
      </c>
      <c r="I86" s="34">
        <f t="shared" si="17"/>
        <v>81999.999999999942</v>
      </c>
      <c r="J86" s="148">
        <f t="shared" si="14"/>
        <v>0.15443329300050487</v>
      </c>
      <c r="K86" s="367">
        <f>SC13CQ!J82</f>
        <v>368200</v>
      </c>
    </row>
    <row r="87" spans="1:11" x14ac:dyDescent="0.25">
      <c r="A87" s="606" t="s">
        <v>1180</v>
      </c>
      <c r="B87" s="90"/>
      <c r="C87" s="744">
        <f>SC13CQ!B83</f>
        <v>858685.65</v>
      </c>
      <c r="D87" s="744">
        <f>SC13CQ!C83</f>
        <v>1621500</v>
      </c>
      <c r="E87" s="331">
        <f>SC13CQ!D83</f>
        <v>1621500</v>
      </c>
      <c r="F87" s="704">
        <f>SC13CQ!E83</f>
        <v>13832</v>
      </c>
      <c r="G87" s="331">
        <f>SC13CQ!F83</f>
        <v>642286.09</v>
      </c>
      <c r="H87" s="704">
        <f>SC13CQ!G83</f>
        <v>897134.09</v>
      </c>
      <c r="I87" s="34">
        <f t="shared" si="17"/>
        <v>254848</v>
      </c>
      <c r="J87" s="148">
        <f t="shared" si="14"/>
        <v>0.28406901804389129</v>
      </c>
      <c r="K87" s="367">
        <f>SC13CQ!J83</f>
        <v>1621500</v>
      </c>
    </row>
    <row r="88" spans="1:11" x14ac:dyDescent="0.25">
      <c r="A88" s="606" t="s">
        <v>148</v>
      </c>
      <c r="B88" s="90"/>
      <c r="C88" s="744">
        <f>SC13CQ!B84</f>
        <v>0</v>
      </c>
      <c r="D88" s="744">
        <f>SC13CQ!C84</f>
        <v>0</v>
      </c>
      <c r="E88" s="331">
        <f>SC13CQ!D84</f>
        <v>0</v>
      </c>
      <c r="F88" s="704">
        <f>SC13CQ!E84</f>
        <v>0</v>
      </c>
      <c r="G88" s="331">
        <f>SC13CQ!F84</f>
        <v>0</v>
      </c>
      <c r="H88" s="704">
        <f>SC13CQ!G84</f>
        <v>0</v>
      </c>
      <c r="I88" s="34">
        <f t="shared" si="17"/>
        <v>0</v>
      </c>
      <c r="J88" s="148" t="str">
        <f t="shared" si="14"/>
        <v/>
      </c>
      <c r="K88" s="367">
        <f>SC13CQ!J84</f>
        <v>0</v>
      </c>
    </row>
    <row r="89" spans="1:11" x14ac:dyDescent="0.25">
      <c r="A89" s="606" t="s">
        <v>1181</v>
      </c>
      <c r="B89" s="90"/>
      <c r="C89" s="744">
        <f>SC13CQ!B85</f>
        <v>31000899.57</v>
      </c>
      <c r="D89" s="744">
        <f>SC13CQ!C85</f>
        <v>69749300</v>
      </c>
      <c r="E89" s="331">
        <f>SC13CQ!D85</f>
        <v>69549300</v>
      </c>
      <c r="F89" s="704">
        <f>SC13CQ!E85</f>
        <v>245696.69</v>
      </c>
      <c r="G89" s="331">
        <f>SC13CQ!F85</f>
        <v>5543674.3300000001</v>
      </c>
      <c r="H89" s="704">
        <f>SC13CQ!G85</f>
        <v>21624687.530000001</v>
      </c>
      <c r="I89" s="34">
        <f t="shared" si="17"/>
        <v>16081013.200000001</v>
      </c>
      <c r="J89" s="148">
        <f t="shared" si="14"/>
        <v>0.74364141343965118</v>
      </c>
      <c r="K89" s="367">
        <f>SC13CQ!J85</f>
        <v>69549300</v>
      </c>
    </row>
    <row r="90" spans="1:11" x14ac:dyDescent="0.25">
      <c r="A90" s="606" t="s">
        <v>1182</v>
      </c>
      <c r="B90" s="90"/>
      <c r="C90" s="744">
        <f>SC13CQ!B86</f>
        <v>0</v>
      </c>
      <c r="D90" s="744">
        <f>SC13CQ!C86</f>
        <v>0</v>
      </c>
      <c r="E90" s="331">
        <f>SC13CQ!D86</f>
        <v>6800000</v>
      </c>
      <c r="F90" s="704">
        <f>SC13CQ!E86</f>
        <v>583341</v>
      </c>
      <c r="G90" s="331">
        <f>SC13CQ!F86</f>
        <v>1857322</v>
      </c>
      <c r="H90" s="704">
        <f>SC13CQ!G86</f>
        <v>911437.5</v>
      </c>
      <c r="I90" s="34">
        <f t="shared" si="17"/>
        <v>-945884.5</v>
      </c>
      <c r="J90" s="148">
        <f t="shared" si="14"/>
        <v>-1.0377941438661455</v>
      </c>
      <c r="K90" s="367">
        <f>SC13CQ!J86</f>
        <v>6800000</v>
      </c>
    </row>
    <row r="91" spans="1:11" x14ac:dyDescent="0.25">
      <c r="A91" s="606" t="s">
        <v>1183</v>
      </c>
      <c r="B91" s="90"/>
      <c r="C91" s="744">
        <f>SC13CQ!B87</f>
        <v>0</v>
      </c>
      <c r="D91" s="744">
        <f>SC13CQ!C87</f>
        <v>0</v>
      </c>
      <c r="E91" s="331">
        <f>SC13CQ!D87</f>
        <v>0</v>
      </c>
      <c r="F91" s="704">
        <f>SC13CQ!E87</f>
        <v>0</v>
      </c>
      <c r="G91" s="331">
        <f>SC13CQ!F87</f>
        <v>0</v>
      </c>
      <c r="H91" s="704">
        <f>SC13CQ!G87</f>
        <v>0</v>
      </c>
      <c r="I91" s="34">
        <f t="shared" si="17"/>
        <v>0</v>
      </c>
      <c r="J91" s="148" t="str">
        <f t="shared" si="14"/>
        <v/>
      </c>
      <c r="K91" s="367">
        <f>SC13CQ!J87</f>
        <v>0</v>
      </c>
    </row>
    <row r="92" spans="1:11" x14ac:dyDescent="0.25">
      <c r="A92" s="606" t="s">
        <v>1184</v>
      </c>
      <c r="B92" s="90"/>
      <c r="C92" s="744">
        <f>SC13CQ!B88</f>
        <v>0</v>
      </c>
      <c r="D92" s="744">
        <f>SC13CQ!C88</f>
        <v>34200</v>
      </c>
      <c r="E92" s="331">
        <f>SC13CQ!D88</f>
        <v>34200</v>
      </c>
      <c r="F92" s="704">
        <f>SC13CQ!E88</f>
        <v>0</v>
      </c>
      <c r="G92" s="331">
        <f>SC13CQ!F88</f>
        <v>53995.05</v>
      </c>
      <c r="H92" s="704">
        <f>SC13CQ!G88</f>
        <v>57595.05</v>
      </c>
      <c r="I92" s="34">
        <f t="shared" si="17"/>
        <v>3600</v>
      </c>
      <c r="J92" s="148">
        <f t="shared" si="14"/>
        <v>6.2505371555368033E-2</v>
      </c>
      <c r="K92" s="367">
        <f>SC13CQ!J88</f>
        <v>34200</v>
      </c>
    </row>
    <row r="93" spans="1:11" x14ac:dyDescent="0.25">
      <c r="A93" s="606" t="s">
        <v>402</v>
      </c>
      <c r="B93" s="90"/>
      <c r="C93" s="744">
        <f>SC13CQ!B89</f>
        <v>0</v>
      </c>
      <c r="D93" s="744">
        <f>SC13CQ!C89</f>
        <v>0</v>
      </c>
      <c r="E93" s="331">
        <f>SC13CQ!D89</f>
        <v>0</v>
      </c>
      <c r="F93" s="704">
        <f>SC13CQ!E89</f>
        <v>0</v>
      </c>
      <c r="G93" s="331">
        <f>SC13CQ!F89</f>
        <v>0</v>
      </c>
      <c r="H93" s="704">
        <f>SC13CQ!G89</f>
        <v>0</v>
      </c>
      <c r="I93" s="34">
        <f t="shared" si="17"/>
        <v>0</v>
      </c>
      <c r="J93" s="148" t="str">
        <f t="shared" si="14"/>
        <v/>
      </c>
      <c r="K93" s="367">
        <f>SC13CQ!J89</f>
        <v>0</v>
      </c>
    </row>
    <row r="94" spans="1:11" x14ac:dyDescent="0.25">
      <c r="A94" s="606" t="s">
        <v>1185</v>
      </c>
      <c r="B94" s="90"/>
      <c r="C94" s="744">
        <f>SC13CQ!B90</f>
        <v>0</v>
      </c>
      <c r="D94" s="744">
        <f>SC13CQ!C90</f>
        <v>0</v>
      </c>
      <c r="E94" s="331">
        <f>SC13CQ!D90</f>
        <v>0</v>
      </c>
      <c r="F94" s="704">
        <f>SC13CQ!E90</f>
        <v>0</v>
      </c>
      <c r="G94" s="331">
        <f>SC13CQ!F90</f>
        <v>0</v>
      </c>
      <c r="H94" s="704">
        <f>SC13CQ!G90</f>
        <v>0</v>
      </c>
      <c r="I94" s="34">
        <f t="shared" si="17"/>
        <v>0</v>
      </c>
      <c r="J94" s="148" t="str">
        <f t="shared" si="14"/>
        <v/>
      </c>
      <c r="K94" s="367">
        <f>SC13CQ!J90</f>
        <v>0</v>
      </c>
    </row>
    <row r="95" spans="1:11" x14ac:dyDescent="0.25">
      <c r="A95" s="606" t="s">
        <v>401</v>
      </c>
      <c r="B95" s="90"/>
      <c r="C95" s="744">
        <f>SC13CQ!B91</f>
        <v>0</v>
      </c>
      <c r="D95" s="744">
        <f>SC13CQ!C91</f>
        <v>0</v>
      </c>
      <c r="E95" s="331">
        <f>SC13CQ!D91</f>
        <v>0</v>
      </c>
      <c r="F95" s="704">
        <f>SC13CQ!E91</f>
        <v>0</v>
      </c>
      <c r="G95" s="331">
        <f>SC13CQ!F91</f>
        <v>0</v>
      </c>
      <c r="H95" s="704">
        <f>SC13CQ!G91</f>
        <v>0</v>
      </c>
      <c r="I95" s="34">
        <f t="shared" si="17"/>
        <v>0</v>
      </c>
      <c r="J95" s="148" t="str">
        <f t="shared" si="14"/>
        <v/>
      </c>
      <c r="K95" s="367">
        <f>SC13CQ!J91</f>
        <v>0</v>
      </c>
    </row>
    <row r="96" spans="1:11" x14ac:dyDescent="0.25">
      <c r="A96" s="606" t="s">
        <v>1186</v>
      </c>
      <c r="B96" s="90"/>
      <c r="C96" s="744">
        <f>SC13CQ!B92</f>
        <v>0</v>
      </c>
      <c r="D96" s="744">
        <f>SC13CQ!C92</f>
        <v>0</v>
      </c>
      <c r="E96" s="331">
        <f>SC13CQ!D92</f>
        <v>0</v>
      </c>
      <c r="F96" s="704">
        <f>SC13CQ!E92</f>
        <v>0</v>
      </c>
      <c r="G96" s="331">
        <f>SC13CQ!F92</f>
        <v>0</v>
      </c>
      <c r="H96" s="704">
        <f>SC13CQ!G92</f>
        <v>0</v>
      </c>
      <c r="I96" s="34">
        <f t="shared" si="17"/>
        <v>0</v>
      </c>
      <c r="J96" s="148" t="str">
        <f t="shared" si="14"/>
        <v/>
      </c>
      <c r="K96" s="367">
        <f>SC13CQ!J92</f>
        <v>0</v>
      </c>
    </row>
    <row r="97" spans="1:11" x14ac:dyDescent="0.25">
      <c r="A97" s="606" t="s">
        <v>1187</v>
      </c>
      <c r="B97" s="90"/>
      <c r="C97" s="744">
        <f>SC13CQ!B93</f>
        <v>9710.8799999999992</v>
      </c>
      <c r="D97" s="744">
        <f>SC13CQ!C93</f>
        <v>0</v>
      </c>
      <c r="E97" s="331">
        <f>SC13CQ!D93</f>
        <v>0</v>
      </c>
      <c r="F97" s="704">
        <f>SC13CQ!E93</f>
        <v>0</v>
      </c>
      <c r="G97" s="331">
        <f>SC13CQ!F93</f>
        <v>0</v>
      </c>
      <c r="H97" s="704">
        <f>SC13CQ!G93</f>
        <v>0</v>
      </c>
      <c r="I97" s="34">
        <f t="shared" si="17"/>
        <v>0</v>
      </c>
      <c r="J97" s="148" t="str">
        <f t="shared" si="14"/>
        <v/>
      </c>
      <c r="K97" s="367">
        <f>SC13CQ!J93</f>
        <v>0</v>
      </c>
    </row>
    <row r="98" spans="1:11" x14ac:dyDescent="0.25">
      <c r="A98" s="606" t="s">
        <v>1122</v>
      </c>
      <c r="B98" s="90"/>
      <c r="C98" s="744">
        <f>SC13CQ!B94</f>
        <v>0</v>
      </c>
      <c r="D98" s="744">
        <f>SC13CQ!C94</f>
        <v>0</v>
      </c>
      <c r="E98" s="331">
        <f>SC13CQ!D94</f>
        <v>0</v>
      </c>
      <c r="F98" s="704">
        <f>SC13CQ!E94</f>
        <v>0</v>
      </c>
      <c r="G98" s="331">
        <f>SC13CQ!F94</f>
        <v>0</v>
      </c>
      <c r="H98" s="704">
        <f>SC13CQ!G94</f>
        <v>0</v>
      </c>
      <c r="I98" s="34">
        <f t="shared" si="17"/>
        <v>0</v>
      </c>
      <c r="J98" s="148" t="str">
        <f t="shared" si="14"/>
        <v/>
      </c>
      <c r="K98" s="367">
        <f>SC13CQ!J94</f>
        <v>0</v>
      </c>
    </row>
    <row r="99" spans="1:11" x14ac:dyDescent="0.25">
      <c r="A99" s="30" t="s">
        <v>1188</v>
      </c>
      <c r="B99" s="90"/>
      <c r="C99" s="74">
        <f t="shared" ref="C99:H99" si="18">SUM(C100:C102)</f>
        <v>919166.76</v>
      </c>
      <c r="D99" s="489">
        <f t="shared" si="18"/>
        <v>2428800</v>
      </c>
      <c r="E99" s="34">
        <f t="shared" si="18"/>
        <v>2283200</v>
      </c>
      <c r="F99" s="33">
        <f t="shared" si="18"/>
        <v>0</v>
      </c>
      <c r="G99" s="34">
        <f t="shared" si="18"/>
        <v>718748.9</v>
      </c>
      <c r="H99" s="33">
        <f t="shared" si="18"/>
        <v>968182.9</v>
      </c>
      <c r="I99" s="34">
        <f t="shared" si="17"/>
        <v>249434</v>
      </c>
      <c r="J99" s="148">
        <f t="shared" si="14"/>
        <v>0.25763107363288484</v>
      </c>
      <c r="K99" s="35">
        <f>SUM(K100:K102)</f>
        <v>2283200</v>
      </c>
    </row>
    <row r="100" spans="1:11" x14ac:dyDescent="0.25">
      <c r="A100" s="606" t="s">
        <v>1189</v>
      </c>
      <c r="B100" s="90"/>
      <c r="C100" s="744">
        <f>SC13CQ!B96</f>
        <v>0</v>
      </c>
      <c r="D100" s="744">
        <f>SC13CQ!C96</f>
        <v>0</v>
      </c>
      <c r="E100" s="331">
        <f>SC13CQ!D96</f>
        <v>0</v>
      </c>
      <c r="F100" s="704">
        <f>SC13CQ!E96</f>
        <v>0</v>
      </c>
      <c r="G100" s="331">
        <f>SC13CQ!F96</f>
        <v>0</v>
      </c>
      <c r="H100" s="704">
        <f>SC13CQ!G96</f>
        <v>0</v>
      </c>
      <c r="I100" s="34">
        <f t="shared" si="17"/>
        <v>0</v>
      </c>
      <c r="J100" s="148" t="str">
        <f t="shared" si="14"/>
        <v/>
      </c>
      <c r="K100" s="367">
        <f>SC13CQ!J96</f>
        <v>0</v>
      </c>
    </row>
    <row r="101" spans="1:11" x14ac:dyDescent="0.25">
      <c r="A101" s="606" t="s">
        <v>1190</v>
      </c>
      <c r="B101" s="90"/>
      <c r="C101" s="744">
        <f>SC13CQ!B97</f>
        <v>919166.76</v>
      </c>
      <c r="D101" s="744">
        <f>SC13CQ!C97</f>
        <v>2428800</v>
      </c>
      <c r="E101" s="331">
        <f>SC13CQ!D97</f>
        <v>2283200</v>
      </c>
      <c r="F101" s="704">
        <f>SC13CQ!E97</f>
        <v>0</v>
      </c>
      <c r="G101" s="331">
        <f>SC13CQ!F97</f>
        <v>718748.9</v>
      </c>
      <c r="H101" s="704">
        <f>SC13CQ!G97</f>
        <v>968182.9</v>
      </c>
      <c r="I101" s="34">
        <f t="shared" si="17"/>
        <v>249434</v>
      </c>
      <c r="J101" s="148">
        <f t="shared" si="14"/>
        <v>0.25763107363288484</v>
      </c>
      <c r="K101" s="367">
        <f>SC13CQ!J97</f>
        <v>2283200</v>
      </c>
    </row>
    <row r="102" spans="1:11" x14ac:dyDescent="0.25">
      <c r="A102" s="606" t="s">
        <v>1122</v>
      </c>
      <c r="B102" s="90"/>
      <c r="C102" s="744">
        <f>SC13CQ!B98</f>
        <v>0</v>
      </c>
      <c r="D102" s="744">
        <f>SC13CQ!C98</f>
        <v>0</v>
      </c>
      <c r="E102" s="331">
        <f>SC13CQ!D98</f>
        <v>0</v>
      </c>
      <c r="F102" s="704">
        <f>SC13CQ!E98</f>
        <v>0</v>
      </c>
      <c r="G102" s="331">
        <f>SC13CQ!F98</f>
        <v>0</v>
      </c>
      <c r="H102" s="704">
        <f>SC13CQ!G98</f>
        <v>0</v>
      </c>
      <c r="I102" s="34">
        <f t="shared" si="17"/>
        <v>0</v>
      </c>
      <c r="J102" s="148" t="str">
        <f t="shared" si="14"/>
        <v/>
      </c>
      <c r="K102" s="367">
        <f>SC13CQ!J98</f>
        <v>0</v>
      </c>
    </row>
    <row r="103" spans="1:11" x14ac:dyDescent="0.25">
      <c r="A103" s="29" t="s">
        <v>618</v>
      </c>
      <c r="B103" s="90"/>
      <c r="C103" s="142">
        <f t="shared" ref="C103:H103" si="19">SUM(C104:C108)</f>
        <v>0</v>
      </c>
      <c r="D103" s="738">
        <f t="shared" si="19"/>
        <v>12400</v>
      </c>
      <c r="E103" s="65">
        <f t="shared" si="19"/>
        <v>6700</v>
      </c>
      <c r="F103" s="738">
        <f t="shared" si="19"/>
        <v>0</v>
      </c>
      <c r="G103" s="65">
        <f t="shared" si="19"/>
        <v>0</v>
      </c>
      <c r="H103" s="738">
        <f t="shared" si="19"/>
        <v>1800</v>
      </c>
      <c r="I103" s="34">
        <f t="shared" si="17"/>
        <v>1800</v>
      </c>
      <c r="J103" s="148">
        <f t="shared" si="14"/>
        <v>1</v>
      </c>
      <c r="K103" s="740">
        <f>SUM(K104:K108)</f>
        <v>6700</v>
      </c>
    </row>
    <row r="104" spans="1:11" x14ac:dyDescent="0.25">
      <c r="A104" s="30" t="s">
        <v>1192</v>
      </c>
      <c r="B104" s="90"/>
      <c r="C104" s="764">
        <f>SC13CQ!B101</f>
        <v>0</v>
      </c>
      <c r="D104" s="704"/>
      <c r="E104" s="331"/>
      <c r="F104" s="704"/>
      <c r="G104" s="331"/>
      <c r="H104" s="704"/>
      <c r="I104" s="34">
        <f t="shared" si="17"/>
        <v>0</v>
      </c>
      <c r="J104" s="148" t="str">
        <f t="shared" si="14"/>
        <v/>
      </c>
      <c r="K104" s="367"/>
    </row>
    <row r="105" spans="1:11" x14ac:dyDescent="0.25">
      <c r="A105" s="30" t="s">
        <v>1193</v>
      </c>
      <c r="B105" s="90"/>
      <c r="C105" s="764">
        <f>SC13CQ!B103</f>
        <v>0</v>
      </c>
      <c r="D105" s="739">
        <f>SC13CQ!C103</f>
        <v>12400</v>
      </c>
      <c r="E105" s="540">
        <f>SC13CQ!D103</f>
        <v>6700</v>
      </c>
      <c r="F105" s="739">
        <f>SC13CQ!E103</f>
        <v>0</v>
      </c>
      <c r="G105" s="540">
        <f>SC13CQ!F103</f>
        <v>0</v>
      </c>
      <c r="H105" s="739">
        <f>SC13CQ!G103</f>
        <v>1800</v>
      </c>
      <c r="I105" s="34">
        <f t="shared" si="17"/>
        <v>1800</v>
      </c>
      <c r="J105" s="148">
        <f t="shared" si="14"/>
        <v>1</v>
      </c>
      <c r="K105" s="735">
        <f>SC13CQ!J103</f>
        <v>6700</v>
      </c>
    </row>
    <row r="106" spans="1:11" x14ac:dyDescent="0.25">
      <c r="A106" s="30" t="s">
        <v>1194</v>
      </c>
      <c r="B106" s="90"/>
      <c r="C106" s="745">
        <f>SC13CQ!B105</f>
        <v>0</v>
      </c>
      <c r="D106" s="745">
        <f>SC13CQ!C104</f>
        <v>0</v>
      </c>
      <c r="E106" s="540">
        <f>SC13CQ!D104</f>
        <v>0</v>
      </c>
      <c r="F106" s="739">
        <f>SC13CQ!E104</f>
        <v>0</v>
      </c>
      <c r="G106" s="540">
        <f>SC13CQ!F104</f>
        <v>0</v>
      </c>
      <c r="H106" s="739">
        <f>SC13CQ!G104</f>
        <v>0</v>
      </c>
      <c r="I106" s="34">
        <f t="shared" si="17"/>
        <v>0</v>
      </c>
      <c r="J106" s="148" t="str">
        <f t="shared" si="14"/>
        <v/>
      </c>
      <c r="K106" s="735">
        <f>SC13CQ!J104</f>
        <v>0</v>
      </c>
    </row>
    <row r="107" spans="1:11" x14ac:dyDescent="0.25">
      <c r="A107" s="30" t="s">
        <v>1195</v>
      </c>
      <c r="B107" s="90"/>
      <c r="C107" s="745">
        <f>SC13CQ!B107</f>
        <v>0</v>
      </c>
      <c r="D107" s="745">
        <f>SC13CQ!C105</f>
        <v>0</v>
      </c>
      <c r="E107" s="540">
        <f>SC13CQ!D105</f>
        <v>0</v>
      </c>
      <c r="F107" s="739">
        <f>SC13CQ!E105</f>
        <v>0</v>
      </c>
      <c r="G107" s="540">
        <f>SC13CQ!F105</f>
        <v>0</v>
      </c>
      <c r="H107" s="739">
        <f>SC13CQ!G105</f>
        <v>0</v>
      </c>
      <c r="I107" s="34">
        <f t="shared" si="17"/>
        <v>0</v>
      </c>
      <c r="J107" s="148" t="str">
        <f t="shared" si="14"/>
        <v/>
      </c>
      <c r="K107" s="735">
        <f>SC13CQ!J105</f>
        <v>0</v>
      </c>
    </row>
    <row r="108" spans="1:11" x14ac:dyDescent="0.25">
      <c r="A108" s="30" t="s">
        <v>1196</v>
      </c>
      <c r="B108" s="90"/>
      <c r="C108" s="745">
        <f>SC13CQ!B109</f>
        <v>0</v>
      </c>
      <c r="D108" s="745">
        <f>SC13CQ!C106</f>
        <v>0</v>
      </c>
      <c r="E108" s="540">
        <f>SC13CQ!D106</f>
        <v>0</v>
      </c>
      <c r="F108" s="739">
        <f>SC13CQ!E106</f>
        <v>0</v>
      </c>
      <c r="G108" s="540">
        <f>SC13CQ!F106</f>
        <v>0</v>
      </c>
      <c r="H108" s="739">
        <f>SC13CQ!G106</f>
        <v>0</v>
      </c>
      <c r="I108" s="34">
        <f t="shared" si="17"/>
        <v>0</v>
      </c>
      <c r="J108" s="148" t="str">
        <f t="shared" si="14"/>
        <v/>
      </c>
      <c r="K108" s="735">
        <f>SC13CQ!J106</f>
        <v>0</v>
      </c>
    </row>
    <row r="109" spans="1:11" x14ac:dyDescent="0.25">
      <c r="A109" s="32"/>
      <c r="B109" s="90"/>
      <c r="C109" s="74"/>
      <c r="D109" s="33"/>
      <c r="E109" s="34"/>
      <c r="F109" s="33"/>
      <c r="G109" s="34"/>
      <c r="H109" s="33"/>
      <c r="I109" s="34">
        <f t="shared" si="17"/>
        <v>0</v>
      </c>
      <c r="J109" s="148" t="str">
        <f t="shared" si="14"/>
        <v/>
      </c>
      <c r="K109" s="35"/>
    </row>
    <row r="110" spans="1:11" x14ac:dyDescent="0.25">
      <c r="A110" s="29" t="s">
        <v>619</v>
      </c>
      <c r="B110" s="340"/>
      <c r="C110" s="220">
        <f t="shared" ref="C110:H110" si="20">+C111+C114</f>
        <v>0</v>
      </c>
      <c r="D110" s="737">
        <f t="shared" si="20"/>
        <v>0</v>
      </c>
      <c r="E110" s="221">
        <f t="shared" si="20"/>
        <v>0</v>
      </c>
      <c r="F110" s="737">
        <f t="shared" si="20"/>
        <v>0</v>
      </c>
      <c r="G110" s="221">
        <f t="shared" si="20"/>
        <v>0</v>
      </c>
      <c r="H110" s="737">
        <f t="shared" si="20"/>
        <v>0</v>
      </c>
      <c r="I110" s="34">
        <f t="shared" si="17"/>
        <v>0</v>
      </c>
      <c r="J110" s="148" t="str">
        <f t="shared" si="14"/>
        <v/>
      </c>
      <c r="K110" s="734">
        <f>+K111+K114</f>
        <v>0</v>
      </c>
    </row>
    <row r="111" spans="1:11" ht="13.5" x14ac:dyDescent="0.25">
      <c r="A111" s="30" t="s">
        <v>1197</v>
      </c>
      <c r="B111" s="90"/>
      <c r="C111" s="74">
        <f t="shared" ref="C111:H111" si="21">SUM(C112:C113)</f>
        <v>0</v>
      </c>
      <c r="D111" s="489">
        <f t="shared" si="21"/>
        <v>0</v>
      </c>
      <c r="E111" s="34">
        <f t="shared" si="21"/>
        <v>0</v>
      </c>
      <c r="F111" s="33">
        <f t="shared" si="21"/>
        <v>0</v>
      </c>
      <c r="G111" s="34">
        <f t="shared" si="21"/>
        <v>0</v>
      </c>
      <c r="H111" s="33">
        <f t="shared" si="21"/>
        <v>0</v>
      </c>
      <c r="I111" s="34">
        <f t="shared" si="17"/>
        <v>0</v>
      </c>
      <c r="J111" s="747"/>
      <c r="K111" s="35">
        <f>SUM(K112:K113)</f>
        <v>0</v>
      </c>
    </row>
    <row r="112" spans="1:11" ht="13.5" x14ac:dyDescent="0.25">
      <c r="A112" s="606" t="s">
        <v>1198</v>
      </c>
      <c r="B112" s="90"/>
      <c r="C112" s="744">
        <f>SC13CQ!B112</f>
        <v>0</v>
      </c>
      <c r="D112" s="744">
        <f>SC13CQ!C112</f>
        <v>0</v>
      </c>
      <c r="E112" s="331">
        <f>SC13CQ!D112</f>
        <v>0</v>
      </c>
      <c r="F112" s="704">
        <f>SC13CQ!E112</f>
        <v>0</v>
      </c>
      <c r="G112" s="331">
        <f>SC13CQ!F112</f>
        <v>0</v>
      </c>
      <c r="H112" s="704">
        <f>SC13CQ!G112</f>
        <v>0</v>
      </c>
      <c r="I112" s="34">
        <f t="shared" si="17"/>
        <v>0</v>
      </c>
      <c r="J112" s="747"/>
      <c r="K112" s="367">
        <f>SC13CQ!J112</f>
        <v>0</v>
      </c>
    </row>
    <row r="113" spans="1:11" ht="13.5" x14ac:dyDescent="0.25">
      <c r="A113" s="606" t="s">
        <v>1199</v>
      </c>
      <c r="B113" s="90"/>
      <c r="C113" s="744">
        <f>SC13CQ!B113</f>
        <v>0</v>
      </c>
      <c r="D113" s="744">
        <f>SC13CQ!C113</f>
        <v>0</v>
      </c>
      <c r="E113" s="331">
        <f>SC13CQ!D113</f>
        <v>0</v>
      </c>
      <c r="F113" s="704">
        <f>SC13CQ!E113</f>
        <v>0</v>
      </c>
      <c r="G113" s="331">
        <f>SC13CQ!F113</f>
        <v>0</v>
      </c>
      <c r="H113" s="704">
        <f>SC13CQ!G113</f>
        <v>0</v>
      </c>
      <c r="I113" s="34">
        <f t="shared" si="17"/>
        <v>0</v>
      </c>
      <c r="J113" s="747"/>
      <c r="K113" s="367">
        <f>SC13CQ!J113</f>
        <v>0</v>
      </c>
    </row>
    <row r="114" spans="1:11" ht="13.5" x14ac:dyDescent="0.25">
      <c r="A114" s="30" t="s">
        <v>1200</v>
      </c>
      <c r="B114" s="90"/>
      <c r="C114" s="74">
        <f t="shared" ref="C114:H114" si="22">SUM(C115:C116)</f>
        <v>0</v>
      </c>
      <c r="D114" s="489">
        <f t="shared" si="22"/>
        <v>0</v>
      </c>
      <c r="E114" s="34">
        <f t="shared" si="22"/>
        <v>0</v>
      </c>
      <c r="F114" s="33">
        <f t="shared" si="22"/>
        <v>0</v>
      </c>
      <c r="G114" s="34">
        <f t="shared" si="22"/>
        <v>0</v>
      </c>
      <c r="H114" s="33">
        <f t="shared" si="22"/>
        <v>0</v>
      </c>
      <c r="I114" s="34">
        <f t="shared" si="17"/>
        <v>0</v>
      </c>
      <c r="J114" s="747"/>
      <c r="K114" s="35">
        <f>SUM(K115:K116)</f>
        <v>0</v>
      </c>
    </row>
    <row r="115" spans="1:11" ht="13.5" x14ac:dyDescent="0.25">
      <c r="A115" s="606" t="s">
        <v>1198</v>
      </c>
      <c r="B115" s="90"/>
      <c r="C115" s="744">
        <f>SC13CQ!B115</f>
        <v>0</v>
      </c>
      <c r="D115" s="744">
        <f>SC13CQ!C115</f>
        <v>0</v>
      </c>
      <c r="E115" s="331">
        <f>SC13CQ!D115</f>
        <v>0</v>
      </c>
      <c r="F115" s="704">
        <f>SC13CQ!E115</f>
        <v>0</v>
      </c>
      <c r="G115" s="331">
        <f>SC13CQ!F115</f>
        <v>0</v>
      </c>
      <c r="H115" s="704">
        <f>SC13CQ!G115</f>
        <v>0</v>
      </c>
      <c r="I115" s="34">
        <f t="shared" si="17"/>
        <v>0</v>
      </c>
      <c r="J115" s="747"/>
      <c r="K115" s="367">
        <f>SC13CQ!J115</f>
        <v>0</v>
      </c>
    </row>
    <row r="116" spans="1:11" ht="13.5" x14ac:dyDescent="0.25">
      <c r="A116" s="606" t="s">
        <v>1199</v>
      </c>
      <c r="B116" s="90"/>
      <c r="C116" s="744">
        <f>SC13CQ!B116</f>
        <v>0</v>
      </c>
      <c r="D116" s="744">
        <f>SC13CQ!C116</f>
        <v>0</v>
      </c>
      <c r="E116" s="331">
        <f>SC13CQ!D116</f>
        <v>0</v>
      </c>
      <c r="F116" s="704">
        <f>SC13CQ!E116</f>
        <v>0</v>
      </c>
      <c r="G116" s="331">
        <f>SC13CQ!F116</f>
        <v>0</v>
      </c>
      <c r="H116" s="704">
        <f>SC13CQ!G116</f>
        <v>0</v>
      </c>
      <c r="I116" s="34">
        <f t="shared" si="17"/>
        <v>0</v>
      </c>
      <c r="J116" s="747"/>
      <c r="K116" s="367">
        <f>SC13CQ!J116</f>
        <v>0</v>
      </c>
    </row>
    <row r="117" spans="1:11" ht="13.5" x14ac:dyDescent="0.25">
      <c r="A117" s="29" t="s">
        <v>620</v>
      </c>
      <c r="B117" s="90"/>
      <c r="C117" s="220">
        <f t="shared" ref="C117:H117" si="23">+C118+C130</f>
        <v>7842472.5900000008</v>
      </c>
      <c r="D117" s="737">
        <f t="shared" si="23"/>
        <v>10924500</v>
      </c>
      <c r="E117" s="221">
        <f t="shared" si="23"/>
        <v>11774500</v>
      </c>
      <c r="F117" s="737">
        <f t="shared" si="23"/>
        <v>518890.8</v>
      </c>
      <c r="G117" s="221">
        <f t="shared" si="23"/>
        <v>10684590.07</v>
      </c>
      <c r="H117" s="737">
        <f t="shared" si="23"/>
        <v>9853226.2300000004</v>
      </c>
      <c r="I117" s="34">
        <f t="shared" si="17"/>
        <v>-831363.83999999985</v>
      </c>
      <c r="J117" s="747"/>
      <c r="K117" s="734">
        <f>+K118+K130</f>
        <v>11774500</v>
      </c>
    </row>
    <row r="118" spans="1:11" ht="13.5" x14ac:dyDescent="0.25">
      <c r="A118" s="30" t="s">
        <v>1201</v>
      </c>
      <c r="B118" s="90"/>
      <c r="C118" s="74">
        <f t="shared" ref="C118:H118" si="24">SUM(C119:C129)</f>
        <v>7767541.6500000004</v>
      </c>
      <c r="D118" s="489">
        <f t="shared" si="24"/>
        <v>10787000</v>
      </c>
      <c r="E118" s="34">
        <f t="shared" si="24"/>
        <v>11637000</v>
      </c>
      <c r="F118" s="33">
        <f t="shared" si="24"/>
        <v>518890.8</v>
      </c>
      <c r="G118" s="34">
        <f t="shared" si="24"/>
        <v>10662324.07</v>
      </c>
      <c r="H118" s="33">
        <f t="shared" si="24"/>
        <v>9796460.2300000004</v>
      </c>
      <c r="I118" s="34">
        <f t="shared" si="17"/>
        <v>-865863.83999999985</v>
      </c>
      <c r="J118" s="747"/>
      <c r="K118" s="35">
        <f>SUM(K119:K129)</f>
        <v>11637000</v>
      </c>
    </row>
    <row r="119" spans="1:11" ht="13.5" x14ac:dyDescent="0.25">
      <c r="A119" s="606" t="s">
        <v>1202</v>
      </c>
      <c r="B119" s="90"/>
      <c r="C119" s="744">
        <f>SC13CQ!B119</f>
        <v>7767541.6500000004</v>
      </c>
      <c r="D119" s="744">
        <f>SC13CQ!C119</f>
        <v>10787000</v>
      </c>
      <c r="E119" s="331">
        <f>SC13CQ!D119</f>
        <v>11637000</v>
      </c>
      <c r="F119" s="704">
        <f>SC13CQ!E119</f>
        <v>518890.8</v>
      </c>
      <c r="G119" s="331">
        <f>SC13CQ!F119</f>
        <v>10662324.07</v>
      </c>
      <c r="H119" s="704">
        <f>SC13CQ!G119</f>
        <v>9796460.2300000004</v>
      </c>
      <c r="I119" s="34">
        <f t="shared" si="17"/>
        <v>-865863.83999999985</v>
      </c>
      <c r="J119" s="747"/>
      <c r="K119" s="367">
        <f>SC13CQ!J119</f>
        <v>11637000</v>
      </c>
    </row>
    <row r="120" spans="1:11" ht="13.5" x14ac:dyDescent="0.25">
      <c r="A120" s="606" t="s">
        <v>1203</v>
      </c>
      <c r="B120" s="90"/>
      <c r="C120" s="744">
        <f>SC13CQ!B120</f>
        <v>0</v>
      </c>
      <c r="D120" s="744">
        <f>SC13CQ!C120</f>
        <v>0</v>
      </c>
      <c r="E120" s="331">
        <f>SC13CQ!D120</f>
        <v>0</v>
      </c>
      <c r="F120" s="704">
        <f>SC13CQ!E120</f>
        <v>0</v>
      </c>
      <c r="G120" s="331">
        <f>SC13CQ!F120</f>
        <v>0</v>
      </c>
      <c r="H120" s="704">
        <f>SC13CQ!G120</f>
        <v>0</v>
      </c>
      <c r="I120" s="34">
        <f t="shared" si="17"/>
        <v>0</v>
      </c>
      <c r="J120" s="747"/>
      <c r="K120" s="367">
        <f>SC13CQ!J120</f>
        <v>0</v>
      </c>
    </row>
    <row r="121" spans="1:11" ht="13.5" x14ac:dyDescent="0.25">
      <c r="A121" s="606" t="s">
        <v>1204</v>
      </c>
      <c r="B121" s="90"/>
      <c r="C121" s="744">
        <f>SC13CQ!B121</f>
        <v>0</v>
      </c>
      <c r="D121" s="744">
        <f>SC13CQ!C121</f>
        <v>0</v>
      </c>
      <c r="E121" s="331">
        <f>SC13CQ!D121</f>
        <v>0</v>
      </c>
      <c r="F121" s="704">
        <f>SC13CQ!E121</f>
        <v>0</v>
      </c>
      <c r="G121" s="331">
        <f>SC13CQ!F121</f>
        <v>0</v>
      </c>
      <c r="H121" s="704">
        <f>SC13CQ!G121</f>
        <v>0</v>
      </c>
      <c r="I121" s="34">
        <f t="shared" si="17"/>
        <v>0</v>
      </c>
      <c r="J121" s="747"/>
      <c r="K121" s="367">
        <f>SC13CQ!J121</f>
        <v>0</v>
      </c>
    </row>
    <row r="122" spans="1:11" ht="13.5" x14ac:dyDescent="0.25">
      <c r="A122" s="606" t="s">
        <v>1205</v>
      </c>
      <c r="B122" s="90"/>
      <c r="C122" s="744">
        <f>SC13CQ!B122</f>
        <v>0</v>
      </c>
      <c r="D122" s="744">
        <f>SC13CQ!C122</f>
        <v>0</v>
      </c>
      <c r="E122" s="331">
        <f>SC13CQ!D122</f>
        <v>0</v>
      </c>
      <c r="F122" s="704">
        <f>SC13CQ!E122</f>
        <v>0</v>
      </c>
      <c r="G122" s="331">
        <f>SC13CQ!F122</f>
        <v>0</v>
      </c>
      <c r="H122" s="704">
        <f>SC13CQ!G122</f>
        <v>0</v>
      </c>
      <c r="I122" s="34">
        <f t="shared" si="17"/>
        <v>0</v>
      </c>
      <c r="J122" s="747"/>
      <c r="K122" s="367">
        <f>SC13CQ!J122</f>
        <v>0</v>
      </c>
    </row>
    <row r="123" spans="1:11" ht="13.5" x14ac:dyDescent="0.25">
      <c r="A123" s="606" t="s">
        <v>1206</v>
      </c>
      <c r="B123" s="90"/>
      <c r="C123" s="744">
        <f>SC13CQ!B123</f>
        <v>0</v>
      </c>
      <c r="D123" s="744">
        <f>SC13CQ!C123</f>
        <v>0</v>
      </c>
      <c r="E123" s="331">
        <f>SC13CQ!D123</f>
        <v>0</v>
      </c>
      <c r="F123" s="704">
        <f>SC13CQ!E123</f>
        <v>0</v>
      </c>
      <c r="G123" s="331">
        <f>SC13CQ!F123</f>
        <v>0</v>
      </c>
      <c r="H123" s="704">
        <f>SC13CQ!G123</f>
        <v>0</v>
      </c>
      <c r="I123" s="34">
        <f t="shared" si="17"/>
        <v>0</v>
      </c>
      <c r="J123" s="747"/>
      <c r="K123" s="367">
        <f>SC13CQ!J123</f>
        <v>0</v>
      </c>
    </row>
    <row r="124" spans="1:11" ht="13.5" x14ac:dyDescent="0.25">
      <c r="A124" s="606" t="s">
        <v>1207</v>
      </c>
      <c r="B124" s="90"/>
      <c r="C124" s="744">
        <f>SC13CQ!B124</f>
        <v>0</v>
      </c>
      <c r="D124" s="744">
        <f>SC13CQ!C124</f>
        <v>0</v>
      </c>
      <c r="E124" s="331">
        <f>SC13CQ!D124</f>
        <v>0</v>
      </c>
      <c r="F124" s="704">
        <f>SC13CQ!E124</f>
        <v>0</v>
      </c>
      <c r="G124" s="331">
        <f>SC13CQ!F124</f>
        <v>0</v>
      </c>
      <c r="H124" s="704">
        <f>SC13CQ!G124</f>
        <v>0</v>
      </c>
      <c r="I124" s="34">
        <f t="shared" si="17"/>
        <v>0</v>
      </c>
      <c r="J124" s="747"/>
      <c r="K124" s="367">
        <f>SC13CQ!J124</f>
        <v>0</v>
      </c>
    </row>
    <row r="125" spans="1:11" ht="13.5" x14ac:dyDescent="0.25">
      <c r="A125" s="606" t="s">
        <v>1208</v>
      </c>
      <c r="B125" s="90"/>
      <c r="C125" s="744">
        <f>SC13CQ!B125</f>
        <v>0</v>
      </c>
      <c r="D125" s="744">
        <f>SC13CQ!C125</f>
        <v>0</v>
      </c>
      <c r="E125" s="331">
        <f>SC13CQ!D125</f>
        <v>0</v>
      </c>
      <c r="F125" s="704">
        <f>SC13CQ!E125</f>
        <v>0</v>
      </c>
      <c r="G125" s="331">
        <f>SC13CQ!F125</f>
        <v>0</v>
      </c>
      <c r="H125" s="704">
        <f>SC13CQ!G125</f>
        <v>0</v>
      </c>
      <c r="I125" s="34">
        <f t="shared" si="17"/>
        <v>0</v>
      </c>
      <c r="J125" s="747"/>
      <c r="K125" s="367">
        <f>SC13CQ!J125</f>
        <v>0</v>
      </c>
    </row>
    <row r="126" spans="1:11" ht="13.5" x14ac:dyDescent="0.25">
      <c r="A126" s="606" t="s">
        <v>1209</v>
      </c>
      <c r="B126" s="90"/>
      <c r="C126" s="744">
        <f>SC13CQ!B126</f>
        <v>0</v>
      </c>
      <c r="D126" s="744">
        <f>SC13CQ!C126</f>
        <v>0</v>
      </c>
      <c r="E126" s="331">
        <f>SC13CQ!D126</f>
        <v>0</v>
      </c>
      <c r="F126" s="704">
        <f>SC13CQ!E126</f>
        <v>0</v>
      </c>
      <c r="G126" s="331">
        <f>SC13CQ!F126</f>
        <v>0</v>
      </c>
      <c r="H126" s="704">
        <f>SC13CQ!G126</f>
        <v>0</v>
      </c>
      <c r="I126" s="34">
        <f t="shared" si="17"/>
        <v>0</v>
      </c>
      <c r="J126" s="747"/>
      <c r="K126" s="367">
        <f>SC13CQ!J126</f>
        <v>0</v>
      </c>
    </row>
    <row r="127" spans="1:11" ht="13.5" x14ac:dyDescent="0.25">
      <c r="A127" s="606" t="s">
        <v>1210</v>
      </c>
      <c r="B127" s="90"/>
      <c r="C127" s="744">
        <f>SC13CQ!B127</f>
        <v>0</v>
      </c>
      <c r="D127" s="744">
        <f>SC13CQ!C127</f>
        <v>0</v>
      </c>
      <c r="E127" s="331">
        <f>SC13CQ!D127</f>
        <v>0</v>
      </c>
      <c r="F127" s="704">
        <f>SC13CQ!E127</f>
        <v>0</v>
      </c>
      <c r="G127" s="331">
        <f>SC13CQ!F127</f>
        <v>0</v>
      </c>
      <c r="H127" s="704">
        <f>SC13CQ!G127</f>
        <v>0</v>
      </c>
      <c r="I127" s="34">
        <f t="shared" si="17"/>
        <v>0</v>
      </c>
      <c r="J127" s="747"/>
      <c r="K127" s="367">
        <f>SC13CQ!J127</f>
        <v>0</v>
      </c>
    </row>
    <row r="128" spans="1:11" ht="13.5" x14ac:dyDescent="0.25">
      <c r="A128" s="606" t="s">
        <v>1211</v>
      </c>
      <c r="B128" s="90"/>
      <c r="C128" s="744">
        <f>SC13CQ!B128</f>
        <v>0</v>
      </c>
      <c r="D128" s="744">
        <f>SC13CQ!C128</f>
        <v>0</v>
      </c>
      <c r="E128" s="331">
        <f>SC13CQ!D128</f>
        <v>0</v>
      </c>
      <c r="F128" s="704">
        <f>SC13CQ!E128</f>
        <v>0</v>
      </c>
      <c r="G128" s="331">
        <f>SC13CQ!F128</f>
        <v>0</v>
      </c>
      <c r="H128" s="704">
        <f>SC13CQ!G128</f>
        <v>0</v>
      </c>
      <c r="I128" s="34">
        <f t="shared" si="17"/>
        <v>0</v>
      </c>
      <c r="J128" s="747"/>
      <c r="K128" s="367">
        <f>SC13CQ!J128</f>
        <v>0</v>
      </c>
    </row>
    <row r="129" spans="1:11" ht="13.5" x14ac:dyDescent="0.25">
      <c r="A129" s="606" t="s">
        <v>1122</v>
      </c>
      <c r="B129" s="90"/>
      <c r="C129" s="744">
        <f>SC13CQ!B129</f>
        <v>0</v>
      </c>
      <c r="D129" s="744">
        <f>SC13CQ!C129</f>
        <v>0</v>
      </c>
      <c r="E129" s="331">
        <f>SC13CQ!D129</f>
        <v>0</v>
      </c>
      <c r="F129" s="704">
        <f>SC13CQ!E129</f>
        <v>0</v>
      </c>
      <c r="G129" s="331">
        <f>SC13CQ!F129</f>
        <v>0</v>
      </c>
      <c r="H129" s="704">
        <f>SC13CQ!G129</f>
        <v>0</v>
      </c>
      <c r="I129" s="34">
        <f t="shared" si="17"/>
        <v>0</v>
      </c>
      <c r="J129" s="747"/>
      <c r="K129" s="367">
        <f>SC13CQ!J129</f>
        <v>0</v>
      </c>
    </row>
    <row r="130" spans="1:11" ht="13.5" x14ac:dyDescent="0.25">
      <c r="A130" s="30" t="s">
        <v>659</v>
      </c>
      <c r="B130" s="90"/>
      <c r="C130" s="74">
        <f t="shared" ref="C130:H130" si="25">SUM(C131:C133)</f>
        <v>74930.94</v>
      </c>
      <c r="D130" s="489">
        <f t="shared" si="25"/>
        <v>137500</v>
      </c>
      <c r="E130" s="34">
        <f t="shared" si="25"/>
        <v>137500</v>
      </c>
      <c r="F130" s="33">
        <f t="shared" si="25"/>
        <v>0</v>
      </c>
      <c r="G130" s="34">
        <f t="shared" si="25"/>
        <v>22266</v>
      </c>
      <c r="H130" s="33">
        <f t="shared" si="25"/>
        <v>56766</v>
      </c>
      <c r="I130" s="34">
        <f t="shared" si="17"/>
        <v>34500</v>
      </c>
      <c r="J130" s="748"/>
      <c r="K130" s="35">
        <f>SUM(K131:K133)</f>
        <v>137500</v>
      </c>
    </row>
    <row r="131" spans="1:11" ht="13.5" x14ac:dyDescent="0.25">
      <c r="A131" s="606" t="s">
        <v>1212</v>
      </c>
      <c r="B131" s="90"/>
      <c r="C131" s="744">
        <f>SC13CQ!B131</f>
        <v>0</v>
      </c>
      <c r="D131" s="744">
        <f>SC13CQ!C131</f>
        <v>0</v>
      </c>
      <c r="E131" s="331">
        <f>SC13CQ!D131</f>
        <v>0</v>
      </c>
      <c r="F131" s="704">
        <f>SC13CQ!E131</f>
        <v>0</v>
      </c>
      <c r="G131" s="331">
        <f>SC13CQ!F131</f>
        <v>0</v>
      </c>
      <c r="H131" s="704">
        <f>SC13CQ!G131</f>
        <v>0</v>
      </c>
      <c r="I131" s="34">
        <f t="shared" si="17"/>
        <v>0</v>
      </c>
      <c r="J131" s="748"/>
      <c r="K131" s="367">
        <f>SC13CQ!J131</f>
        <v>0</v>
      </c>
    </row>
    <row r="132" spans="1:11" ht="13.5" x14ac:dyDescent="0.25">
      <c r="A132" s="606" t="s">
        <v>1213</v>
      </c>
      <c r="B132" s="90"/>
      <c r="C132" s="744">
        <f>SC13CQ!B132</f>
        <v>74930.94</v>
      </c>
      <c r="D132" s="744">
        <f>SC13CQ!C132</f>
        <v>137500</v>
      </c>
      <c r="E132" s="331">
        <f>SC13CQ!D132</f>
        <v>137500</v>
      </c>
      <c r="F132" s="704">
        <f>SC13CQ!E132</f>
        <v>0</v>
      </c>
      <c r="G132" s="331">
        <f>SC13CQ!F132</f>
        <v>22266</v>
      </c>
      <c r="H132" s="704">
        <f>SC13CQ!G132</f>
        <v>56766</v>
      </c>
      <c r="I132" s="34">
        <f t="shared" si="17"/>
        <v>34500</v>
      </c>
      <c r="J132" s="748"/>
      <c r="K132" s="367">
        <f>SC13CQ!J132</f>
        <v>137500</v>
      </c>
    </row>
    <row r="133" spans="1:11" ht="13.5" x14ac:dyDescent="0.25">
      <c r="A133" s="606" t="s">
        <v>1122</v>
      </c>
      <c r="B133" s="90"/>
      <c r="C133" s="744">
        <f>SC13CQ!B133</f>
        <v>0</v>
      </c>
      <c r="D133" s="744">
        <f>SC13CQ!C133</f>
        <v>0</v>
      </c>
      <c r="E133" s="331">
        <f>SC13CQ!D133</f>
        <v>0</v>
      </c>
      <c r="F133" s="704">
        <f>SC13CQ!E133</f>
        <v>0</v>
      </c>
      <c r="G133" s="331">
        <f>SC13CQ!F133</f>
        <v>0</v>
      </c>
      <c r="H133" s="704">
        <f>SC13CQ!G133</f>
        <v>0</v>
      </c>
      <c r="I133" s="34">
        <f t="shared" si="17"/>
        <v>0</v>
      </c>
      <c r="J133" s="748"/>
      <c r="K133" s="367">
        <f>SC13CQ!J133</f>
        <v>0</v>
      </c>
    </row>
    <row r="134" spans="1:11" ht="13.5" x14ac:dyDescent="0.25">
      <c r="A134" s="30"/>
      <c r="B134" s="90"/>
      <c r="C134" s="74"/>
      <c r="D134" s="33"/>
      <c r="E134" s="34"/>
      <c r="F134" s="33"/>
      <c r="G134" s="34"/>
      <c r="H134" s="33"/>
      <c r="I134" s="34">
        <f t="shared" si="17"/>
        <v>0</v>
      </c>
      <c r="J134" s="748"/>
      <c r="K134" s="35"/>
    </row>
    <row r="135" spans="1:11" ht="13.5" x14ac:dyDescent="0.25">
      <c r="A135" s="29" t="s">
        <v>1214</v>
      </c>
      <c r="B135" s="90"/>
      <c r="C135" s="220">
        <f t="shared" ref="C135:H135" si="26">SUM(C136:C136)</f>
        <v>0</v>
      </c>
      <c r="D135" s="737">
        <f t="shared" si="26"/>
        <v>0</v>
      </c>
      <c r="E135" s="221">
        <f t="shared" si="26"/>
        <v>0</v>
      </c>
      <c r="F135" s="737">
        <f t="shared" si="26"/>
        <v>0</v>
      </c>
      <c r="G135" s="221">
        <f t="shared" si="26"/>
        <v>0</v>
      </c>
      <c r="H135" s="737">
        <f t="shared" si="26"/>
        <v>0</v>
      </c>
      <c r="I135" s="34">
        <f t="shared" si="17"/>
        <v>0</v>
      </c>
      <c r="J135" s="748"/>
      <c r="K135" s="734">
        <f>SUM(K136)</f>
        <v>0</v>
      </c>
    </row>
    <row r="136" spans="1:11" ht="13.5" x14ac:dyDescent="0.25">
      <c r="A136" s="30" t="s">
        <v>1214</v>
      </c>
      <c r="B136" s="90"/>
      <c r="C136" s="379">
        <f>SC13CQ!B136</f>
        <v>0</v>
      </c>
      <c r="D136" s="744">
        <f>SC13CQ!C136</f>
        <v>0</v>
      </c>
      <c r="E136" s="331">
        <f>SC13CQ!D136</f>
        <v>0</v>
      </c>
      <c r="F136" s="704">
        <f>SC13CQ!E136</f>
        <v>0</v>
      </c>
      <c r="G136" s="331">
        <f>SC13CQ!F136</f>
        <v>0</v>
      </c>
      <c r="H136" s="704">
        <f>SC13CQ!G136</f>
        <v>0</v>
      </c>
      <c r="I136" s="34">
        <f t="shared" si="17"/>
        <v>0</v>
      </c>
      <c r="J136" s="748"/>
      <c r="K136" s="367">
        <f>SC13CQ!J136</f>
        <v>0</v>
      </c>
    </row>
    <row r="137" spans="1:11" ht="13.5" x14ac:dyDescent="0.25">
      <c r="A137" s="32"/>
      <c r="B137" s="90"/>
      <c r="C137" s="74"/>
      <c r="D137" s="33"/>
      <c r="E137" s="34"/>
      <c r="F137" s="33"/>
      <c r="G137" s="34"/>
      <c r="H137" s="33"/>
      <c r="I137" s="34">
        <f t="shared" si="17"/>
        <v>0</v>
      </c>
      <c r="J137" s="748"/>
      <c r="K137" s="35"/>
    </row>
    <row r="138" spans="1:11" ht="13.5" x14ac:dyDescent="0.25">
      <c r="A138" s="29" t="s">
        <v>1215</v>
      </c>
      <c r="B138" s="90"/>
      <c r="C138" s="220">
        <f t="shared" ref="C138:H138" si="27">SUM(C139:C140)</f>
        <v>0</v>
      </c>
      <c r="D138" s="737">
        <f t="shared" si="27"/>
        <v>0</v>
      </c>
      <c r="E138" s="221">
        <f t="shared" si="27"/>
        <v>0</v>
      </c>
      <c r="F138" s="737">
        <f t="shared" si="27"/>
        <v>0</v>
      </c>
      <c r="G138" s="221">
        <f t="shared" si="27"/>
        <v>0</v>
      </c>
      <c r="H138" s="737">
        <f t="shared" si="27"/>
        <v>0</v>
      </c>
      <c r="I138" s="34">
        <f t="shared" si="17"/>
        <v>0</v>
      </c>
      <c r="J138" s="748"/>
      <c r="K138" s="734">
        <f>SUM(K139:K140)</f>
        <v>0</v>
      </c>
    </row>
    <row r="139" spans="1:11" ht="13.5" x14ac:dyDescent="0.25">
      <c r="A139" s="30" t="s">
        <v>1216</v>
      </c>
      <c r="B139" s="90"/>
      <c r="C139" s="379">
        <f>SC13CQ!B139</f>
        <v>0</v>
      </c>
      <c r="D139" s="744">
        <f>SC13CQ!C139</f>
        <v>0</v>
      </c>
      <c r="E139" s="331">
        <f>SC13CQ!D139</f>
        <v>0</v>
      </c>
      <c r="F139" s="704">
        <f>SC13CQ!E139</f>
        <v>0</v>
      </c>
      <c r="G139" s="331">
        <f>SC13CQ!F139</f>
        <v>0</v>
      </c>
      <c r="H139" s="704">
        <f>SC13CQ!G139</f>
        <v>0</v>
      </c>
      <c r="I139" s="34">
        <f t="shared" si="17"/>
        <v>0</v>
      </c>
      <c r="J139" s="748"/>
      <c r="K139" s="367">
        <f>SC13CQ!J139</f>
        <v>0</v>
      </c>
    </row>
    <row r="140" spans="1:11" ht="13.5" x14ac:dyDescent="0.25">
      <c r="A140" s="30" t="s">
        <v>1217</v>
      </c>
      <c r="B140" s="90"/>
      <c r="C140" s="74">
        <f t="shared" ref="C140:H140" si="28">SUM(C141:C146)</f>
        <v>0</v>
      </c>
      <c r="D140" s="489">
        <f t="shared" si="28"/>
        <v>0</v>
      </c>
      <c r="E140" s="34">
        <f t="shared" si="28"/>
        <v>0</v>
      </c>
      <c r="F140" s="33">
        <f t="shared" si="28"/>
        <v>0</v>
      </c>
      <c r="G140" s="34">
        <f t="shared" si="28"/>
        <v>0</v>
      </c>
      <c r="H140" s="33">
        <f t="shared" si="28"/>
        <v>0</v>
      </c>
      <c r="I140" s="34">
        <f t="shared" si="17"/>
        <v>0</v>
      </c>
      <c r="J140" s="748"/>
      <c r="K140" s="35">
        <f>SUM(K141:K146)</f>
        <v>0</v>
      </c>
    </row>
    <row r="141" spans="1:11" ht="13.5" x14ac:dyDescent="0.25">
      <c r="A141" s="606" t="s">
        <v>1218</v>
      </c>
      <c r="B141" s="90"/>
      <c r="C141" s="744">
        <f>SC13CQ!B141</f>
        <v>0</v>
      </c>
      <c r="D141" s="744">
        <f>SC13CQ!C141</f>
        <v>0</v>
      </c>
      <c r="E141" s="331">
        <f>SC13CQ!D141</f>
        <v>0</v>
      </c>
      <c r="F141" s="704">
        <f>SC13CQ!E141</f>
        <v>0</v>
      </c>
      <c r="G141" s="331">
        <f>SC13CQ!F141</f>
        <v>0</v>
      </c>
      <c r="H141" s="704">
        <f>SC13CQ!G141</f>
        <v>0</v>
      </c>
      <c r="I141" s="34">
        <f t="shared" si="17"/>
        <v>0</v>
      </c>
      <c r="J141" s="748"/>
      <c r="K141" s="367">
        <f>SC13CQ!J141</f>
        <v>0</v>
      </c>
    </row>
    <row r="142" spans="1:11" ht="13.5" x14ac:dyDescent="0.25">
      <c r="A142" s="606" t="s">
        <v>1219</v>
      </c>
      <c r="B142" s="90"/>
      <c r="C142" s="744">
        <f>SC13CQ!B142</f>
        <v>0</v>
      </c>
      <c r="D142" s="744">
        <f>SC13CQ!C142</f>
        <v>0</v>
      </c>
      <c r="E142" s="331">
        <f>SC13CQ!D142</f>
        <v>0</v>
      </c>
      <c r="F142" s="704">
        <f>SC13CQ!E142</f>
        <v>0</v>
      </c>
      <c r="G142" s="331">
        <f>SC13CQ!F142</f>
        <v>0</v>
      </c>
      <c r="H142" s="704">
        <f>SC13CQ!G142</f>
        <v>0</v>
      </c>
      <c r="I142" s="34">
        <f t="shared" si="17"/>
        <v>0</v>
      </c>
      <c r="J142" s="748"/>
      <c r="K142" s="367">
        <f>SC13CQ!J142</f>
        <v>0</v>
      </c>
    </row>
    <row r="143" spans="1:11" ht="13.5" x14ac:dyDescent="0.25">
      <c r="A143" s="606" t="s">
        <v>1220</v>
      </c>
      <c r="B143" s="90"/>
      <c r="C143" s="744">
        <f>SC13CQ!B143</f>
        <v>0</v>
      </c>
      <c r="D143" s="744">
        <f>SC13CQ!C143</f>
        <v>0</v>
      </c>
      <c r="E143" s="331">
        <f>SC13CQ!D143</f>
        <v>0</v>
      </c>
      <c r="F143" s="704">
        <f>SC13CQ!E143</f>
        <v>0</v>
      </c>
      <c r="G143" s="331">
        <f>SC13CQ!F143</f>
        <v>0</v>
      </c>
      <c r="H143" s="704">
        <f>SC13CQ!G143</f>
        <v>0</v>
      </c>
      <c r="I143" s="34">
        <f t="shared" ref="I143:I173" si="29">H143-G143</f>
        <v>0</v>
      </c>
      <c r="J143" s="748"/>
      <c r="K143" s="367">
        <f>SC13CQ!J143</f>
        <v>0</v>
      </c>
    </row>
    <row r="144" spans="1:11" ht="13.5" x14ac:dyDescent="0.25">
      <c r="A144" s="606" t="s">
        <v>1221</v>
      </c>
      <c r="B144" s="90"/>
      <c r="C144" s="744">
        <f>SC13CQ!B144</f>
        <v>0</v>
      </c>
      <c r="D144" s="744">
        <f>SC13CQ!C144</f>
        <v>0</v>
      </c>
      <c r="E144" s="331">
        <f>SC13CQ!D144</f>
        <v>0</v>
      </c>
      <c r="F144" s="704">
        <f>SC13CQ!E144</f>
        <v>0</v>
      </c>
      <c r="G144" s="331">
        <f>SC13CQ!F144</f>
        <v>0</v>
      </c>
      <c r="H144" s="704">
        <f>SC13CQ!G144</f>
        <v>0</v>
      </c>
      <c r="I144" s="34">
        <f t="shared" si="29"/>
        <v>0</v>
      </c>
      <c r="J144" s="748"/>
      <c r="K144" s="367">
        <f>SC13CQ!J144</f>
        <v>0</v>
      </c>
    </row>
    <row r="145" spans="1:11" ht="13.5" x14ac:dyDescent="0.25">
      <c r="A145" s="606" t="s">
        <v>1222</v>
      </c>
      <c r="B145" s="90"/>
      <c r="C145" s="744">
        <f>SC13CQ!B145</f>
        <v>0</v>
      </c>
      <c r="D145" s="744">
        <f>SC13CQ!C145</f>
        <v>0</v>
      </c>
      <c r="E145" s="331">
        <f>SC13CQ!D145</f>
        <v>0</v>
      </c>
      <c r="F145" s="704">
        <f>SC13CQ!E145</f>
        <v>0</v>
      </c>
      <c r="G145" s="331">
        <f>SC13CQ!F145</f>
        <v>0</v>
      </c>
      <c r="H145" s="704">
        <f>SC13CQ!G145</f>
        <v>0</v>
      </c>
      <c r="I145" s="34">
        <f t="shared" si="29"/>
        <v>0</v>
      </c>
      <c r="J145" s="748"/>
      <c r="K145" s="367">
        <f>SC13CQ!J145</f>
        <v>0</v>
      </c>
    </row>
    <row r="146" spans="1:11" ht="13.5" x14ac:dyDescent="0.25">
      <c r="A146" s="606" t="s">
        <v>1223</v>
      </c>
      <c r="B146" s="90"/>
      <c r="C146" s="744">
        <f>SC13CQ!B146</f>
        <v>0</v>
      </c>
      <c r="D146" s="744">
        <f>SC13CQ!C146</f>
        <v>0</v>
      </c>
      <c r="E146" s="331">
        <f>SC13CQ!D146</f>
        <v>0</v>
      </c>
      <c r="F146" s="704">
        <f>SC13CQ!E146</f>
        <v>0</v>
      </c>
      <c r="G146" s="331">
        <f>SC13CQ!F146</f>
        <v>0</v>
      </c>
      <c r="H146" s="704">
        <f>SC13CQ!G146</f>
        <v>0</v>
      </c>
      <c r="I146" s="34">
        <f t="shared" si="29"/>
        <v>0</v>
      </c>
      <c r="J146" s="748"/>
      <c r="K146" s="367">
        <f>SC13CQ!J146</f>
        <v>0</v>
      </c>
    </row>
    <row r="147" spans="1:11" ht="13.5" x14ac:dyDescent="0.25">
      <c r="A147" s="32"/>
      <c r="B147" s="90"/>
      <c r="C147" s="74"/>
      <c r="D147" s="33"/>
      <c r="E147" s="34"/>
      <c r="F147" s="33"/>
      <c r="G147" s="34"/>
      <c r="H147" s="33"/>
      <c r="I147" s="34">
        <f t="shared" si="29"/>
        <v>0</v>
      </c>
      <c r="J147" s="748"/>
      <c r="K147" s="35"/>
    </row>
    <row r="148" spans="1:11" ht="12.75" customHeight="1" x14ac:dyDescent="0.25">
      <c r="A148" s="29" t="s">
        <v>1224</v>
      </c>
      <c r="B148" s="90"/>
      <c r="C148" s="220">
        <f t="shared" ref="C148:H148" si="30">SUM(C149:C149)</f>
        <v>7119009.3300000001</v>
      </c>
      <c r="D148" s="737">
        <f t="shared" si="30"/>
        <v>8512100</v>
      </c>
      <c r="E148" s="221">
        <f t="shared" si="30"/>
        <v>8512100</v>
      </c>
      <c r="F148" s="737">
        <f t="shared" si="30"/>
        <v>440185.13</v>
      </c>
      <c r="G148" s="221">
        <f t="shared" si="30"/>
        <v>5626741.4299999997</v>
      </c>
      <c r="H148" s="737">
        <f t="shared" si="30"/>
        <v>4317975.7</v>
      </c>
      <c r="I148" s="34">
        <f t="shared" si="29"/>
        <v>-1308765.7299999995</v>
      </c>
      <c r="J148" s="748"/>
      <c r="K148" s="734">
        <f>SUM(K149)</f>
        <v>8512100</v>
      </c>
    </row>
    <row r="149" spans="1:11" ht="12.75" customHeight="1" x14ac:dyDescent="0.25">
      <c r="A149" s="30" t="s">
        <v>1224</v>
      </c>
      <c r="B149" s="90"/>
      <c r="C149" s="744">
        <f>SC13CQ!B149</f>
        <v>7119009.3300000001</v>
      </c>
      <c r="D149" s="744">
        <f>SC13CQ!C149</f>
        <v>8512100</v>
      </c>
      <c r="E149" s="331">
        <f>SC13CQ!D149</f>
        <v>8512100</v>
      </c>
      <c r="F149" s="704">
        <f>SC13CQ!E149</f>
        <v>440185.13</v>
      </c>
      <c r="G149" s="331">
        <f>SC13CQ!F149</f>
        <v>5626741.4299999997</v>
      </c>
      <c r="H149" s="704">
        <f>SC13CQ!G149</f>
        <v>4317975.7</v>
      </c>
      <c r="I149" s="34">
        <f t="shared" si="29"/>
        <v>-1308765.7299999995</v>
      </c>
      <c r="J149" s="748"/>
      <c r="K149" s="367">
        <f>SC13CQ!J149</f>
        <v>8512100</v>
      </c>
    </row>
    <row r="150" spans="1:11" ht="5.0999999999999996" customHeight="1" x14ac:dyDescent="0.25">
      <c r="A150" s="32"/>
      <c r="B150" s="90"/>
      <c r="C150" s="74"/>
      <c r="D150" s="33"/>
      <c r="E150" s="34"/>
      <c r="F150" s="33"/>
      <c r="G150" s="34"/>
      <c r="H150" s="33"/>
      <c r="I150" s="34">
        <f t="shared" si="29"/>
        <v>0</v>
      </c>
      <c r="J150" s="748"/>
      <c r="K150" s="35"/>
    </row>
    <row r="151" spans="1:11" ht="12.75" customHeight="1" x14ac:dyDescent="0.25">
      <c r="A151" s="29" t="s">
        <v>1225</v>
      </c>
      <c r="B151" s="90"/>
      <c r="C151" s="220">
        <f t="shared" ref="C151:H151" si="31">SUM(C152:C152)</f>
        <v>13200</v>
      </c>
      <c r="D151" s="737">
        <f t="shared" si="31"/>
        <v>84300</v>
      </c>
      <c r="E151" s="221">
        <f t="shared" si="31"/>
        <v>17400</v>
      </c>
      <c r="F151" s="737">
        <f t="shared" si="31"/>
        <v>0</v>
      </c>
      <c r="G151" s="221">
        <f t="shared" si="31"/>
        <v>0</v>
      </c>
      <c r="H151" s="737">
        <f t="shared" si="31"/>
        <v>0</v>
      </c>
      <c r="I151" s="34">
        <f t="shared" si="29"/>
        <v>0</v>
      </c>
      <c r="J151" s="748"/>
      <c r="K151" s="734">
        <f>SUM(K152)</f>
        <v>17400</v>
      </c>
    </row>
    <row r="152" spans="1:11" ht="12.75" customHeight="1" x14ac:dyDescent="0.25">
      <c r="A152" s="30" t="s">
        <v>1225</v>
      </c>
      <c r="B152" s="90"/>
      <c r="C152" s="744">
        <f>SC13CQ!B152</f>
        <v>13200</v>
      </c>
      <c r="D152" s="744">
        <f>SC13CQ!C152</f>
        <v>84300</v>
      </c>
      <c r="E152" s="331">
        <f>SC13CQ!D152</f>
        <v>17400</v>
      </c>
      <c r="F152" s="704">
        <f>SC13CQ!E152</f>
        <v>0</v>
      </c>
      <c r="G152" s="331">
        <f>SC13CQ!F152</f>
        <v>0</v>
      </c>
      <c r="H152" s="704">
        <f>SC13CQ!G152</f>
        <v>0</v>
      </c>
      <c r="I152" s="34">
        <f t="shared" si="29"/>
        <v>0</v>
      </c>
      <c r="J152" s="748"/>
      <c r="K152" s="367">
        <f>SC13CQ!J152</f>
        <v>17400</v>
      </c>
    </row>
    <row r="153" spans="1:11" ht="5.0999999999999996" customHeight="1" x14ac:dyDescent="0.25">
      <c r="A153" s="32"/>
      <c r="B153" s="90"/>
      <c r="C153" s="74"/>
      <c r="D153" s="33"/>
      <c r="E153" s="34"/>
      <c r="F153" s="33"/>
      <c r="G153" s="34"/>
      <c r="H153" s="33"/>
      <c r="I153" s="34">
        <f t="shared" si="29"/>
        <v>0</v>
      </c>
      <c r="J153" s="748"/>
      <c r="K153" s="35"/>
    </row>
    <row r="154" spans="1:11" ht="12.75" customHeight="1" x14ac:dyDescent="0.25">
      <c r="A154" s="29" t="s">
        <v>1226</v>
      </c>
      <c r="B154" s="90"/>
      <c r="C154" s="220">
        <f t="shared" ref="C154:H154" si="32">SUM(C155:C155)</f>
        <v>21666040.370000001</v>
      </c>
      <c r="D154" s="737">
        <f t="shared" si="32"/>
        <v>25809100</v>
      </c>
      <c r="E154" s="221">
        <f t="shared" si="32"/>
        <v>26347300</v>
      </c>
      <c r="F154" s="737">
        <f t="shared" si="32"/>
        <v>2724706.07</v>
      </c>
      <c r="G154" s="221">
        <f t="shared" si="32"/>
        <v>22453434.600000001</v>
      </c>
      <c r="H154" s="737">
        <f t="shared" si="32"/>
        <v>24530390.16</v>
      </c>
      <c r="I154" s="34">
        <f t="shared" si="29"/>
        <v>2076955.5599999987</v>
      </c>
      <c r="J154" s="748"/>
      <c r="K154" s="734">
        <f>SUM(K155)</f>
        <v>26347300</v>
      </c>
    </row>
    <row r="155" spans="1:11" ht="12.75" customHeight="1" x14ac:dyDescent="0.25">
      <c r="A155" s="30" t="s">
        <v>1226</v>
      </c>
      <c r="B155" s="90"/>
      <c r="C155" s="744">
        <f>SC13CQ!B155</f>
        <v>21666040.370000001</v>
      </c>
      <c r="D155" s="744">
        <f>SC13CQ!C155</f>
        <v>25809100</v>
      </c>
      <c r="E155" s="331">
        <f>SC13CQ!D155</f>
        <v>26347300</v>
      </c>
      <c r="F155" s="704">
        <f>SC13CQ!E155</f>
        <v>2724706.07</v>
      </c>
      <c r="G155" s="331">
        <f>SC13CQ!F155</f>
        <v>22453434.600000001</v>
      </c>
      <c r="H155" s="704">
        <f>SC13CQ!G155</f>
        <v>24530390.16</v>
      </c>
      <c r="I155" s="34">
        <f t="shared" si="29"/>
        <v>2076955.5599999987</v>
      </c>
      <c r="J155" s="748"/>
      <c r="K155" s="367">
        <f>SC13CQ!J155</f>
        <v>26347300</v>
      </c>
    </row>
    <row r="156" spans="1:11" ht="5.0999999999999996" customHeight="1" x14ac:dyDescent="0.25">
      <c r="A156" s="32"/>
      <c r="B156" s="90"/>
      <c r="C156" s="74"/>
      <c r="D156" s="33"/>
      <c r="E156" s="34"/>
      <c r="F156" s="33"/>
      <c r="G156" s="34"/>
      <c r="H156" s="33"/>
      <c r="I156" s="34">
        <f t="shared" si="29"/>
        <v>0</v>
      </c>
      <c r="J156" s="748"/>
      <c r="K156" s="35"/>
    </row>
    <row r="157" spans="1:11" ht="12.75" customHeight="1" x14ac:dyDescent="0.25">
      <c r="A157" s="29" t="s">
        <v>1227</v>
      </c>
      <c r="B157" s="90"/>
      <c r="C157" s="220">
        <f t="shared" ref="C157:H157" si="33">SUM(C158:C158)</f>
        <v>50151569.719999999</v>
      </c>
      <c r="D157" s="737">
        <f t="shared" si="33"/>
        <v>77288300</v>
      </c>
      <c r="E157" s="221">
        <f t="shared" si="33"/>
        <v>90736200</v>
      </c>
      <c r="F157" s="737">
        <f t="shared" si="33"/>
        <v>2710831.01</v>
      </c>
      <c r="G157" s="221">
        <f t="shared" si="33"/>
        <v>39814206.829999998</v>
      </c>
      <c r="H157" s="737">
        <f t="shared" si="33"/>
        <v>44741956.390000001</v>
      </c>
      <c r="I157" s="34">
        <f t="shared" si="29"/>
        <v>4927749.5600000024</v>
      </c>
      <c r="J157" s="748"/>
      <c r="K157" s="734">
        <f>SUM(K158)</f>
        <v>90736200</v>
      </c>
    </row>
    <row r="158" spans="1:11" ht="12.75" customHeight="1" x14ac:dyDescent="0.25">
      <c r="A158" s="30" t="s">
        <v>1227</v>
      </c>
      <c r="B158" s="90"/>
      <c r="C158" s="744">
        <f>SC13CQ!B158</f>
        <v>50151569.719999999</v>
      </c>
      <c r="D158" s="744">
        <f>SC13CQ!C158</f>
        <v>77288300</v>
      </c>
      <c r="E158" s="331">
        <f>SC13CQ!D158</f>
        <v>90736200</v>
      </c>
      <c r="F158" s="704">
        <f>SC13CQ!E158</f>
        <v>2710831.01</v>
      </c>
      <c r="G158" s="331">
        <f>SC13CQ!F158</f>
        <v>39814206.829999998</v>
      </c>
      <c r="H158" s="704">
        <f>SC13CQ!G158</f>
        <v>44741956.390000001</v>
      </c>
      <c r="I158" s="34">
        <f t="shared" si="29"/>
        <v>4927749.5600000024</v>
      </c>
      <c r="J158" s="748"/>
      <c r="K158" s="367">
        <f>SC13CQ!J158</f>
        <v>90736200</v>
      </c>
    </row>
    <row r="159" spans="1:11" ht="5.0999999999999996" customHeight="1" x14ac:dyDescent="0.25">
      <c r="A159" s="32"/>
      <c r="B159" s="90"/>
      <c r="C159" s="74"/>
      <c r="D159" s="33"/>
      <c r="E159" s="34"/>
      <c r="F159" s="33"/>
      <c r="G159" s="34"/>
      <c r="H159" s="33"/>
      <c r="I159" s="34">
        <f t="shared" si="29"/>
        <v>0</v>
      </c>
      <c r="J159" s="748"/>
      <c r="K159" s="35"/>
    </row>
    <row r="160" spans="1:11" ht="12.75" customHeight="1" x14ac:dyDescent="0.25">
      <c r="A160" s="29" t="s">
        <v>1235</v>
      </c>
      <c r="B160" s="90"/>
      <c r="C160" s="220">
        <f t="shared" ref="C160:H160" si="34">SUM(C161:C161)</f>
        <v>0</v>
      </c>
      <c r="D160" s="737">
        <f t="shared" si="34"/>
        <v>0</v>
      </c>
      <c r="E160" s="221">
        <f t="shared" si="34"/>
        <v>0</v>
      </c>
      <c r="F160" s="737">
        <f t="shared" si="34"/>
        <v>0</v>
      </c>
      <c r="G160" s="221">
        <f t="shared" si="34"/>
        <v>0</v>
      </c>
      <c r="H160" s="737">
        <f t="shared" si="34"/>
        <v>0</v>
      </c>
      <c r="I160" s="34">
        <f t="shared" si="29"/>
        <v>0</v>
      </c>
      <c r="J160" s="748"/>
      <c r="K160" s="734">
        <f>SUM(K161)</f>
        <v>0</v>
      </c>
    </row>
    <row r="161" spans="1:11" ht="12.75" customHeight="1" x14ac:dyDescent="0.25">
      <c r="A161" s="30" t="s">
        <v>1235</v>
      </c>
      <c r="B161" s="90"/>
      <c r="C161" s="744">
        <f>SC13CQ!B161</f>
        <v>0</v>
      </c>
      <c r="D161" s="744">
        <f>SC13CQ!C161</f>
        <v>0</v>
      </c>
      <c r="E161" s="331">
        <f>SC13CQ!D161</f>
        <v>0</v>
      </c>
      <c r="F161" s="704">
        <f>SC13CQ!E161</f>
        <v>0</v>
      </c>
      <c r="G161" s="331">
        <f>SC13CQ!F161</f>
        <v>0</v>
      </c>
      <c r="H161" s="704">
        <f>SC13CQ!G161</f>
        <v>0</v>
      </c>
      <c r="I161" s="34">
        <f t="shared" si="29"/>
        <v>0</v>
      </c>
      <c r="J161" s="748"/>
      <c r="K161" s="367">
        <f>SC13CQ!J161</f>
        <v>0</v>
      </c>
    </row>
    <row r="162" spans="1:11" ht="5.0999999999999996" customHeight="1" x14ac:dyDescent="0.25">
      <c r="A162" s="32"/>
      <c r="B162" s="90"/>
      <c r="C162" s="74"/>
      <c r="D162" s="33"/>
      <c r="E162" s="34"/>
      <c r="F162" s="33"/>
      <c r="G162" s="34"/>
      <c r="H162" s="33"/>
      <c r="I162" s="34">
        <f t="shared" si="29"/>
        <v>0</v>
      </c>
      <c r="J162" s="748"/>
      <c r="K162" s="35"/>
    </row>
    <row r="163" spans="1:11" ht="12.75" customHeight="1" x14ac:dyDescent="0.25">
      <c r="A163" s="29" t="s">
        <v>1228</v>
      </c>
      <c r="B163" s="90"/>
      <c r="C163" s="220">
        <f t="shared" ref="C163:H163" si="35">SUM(C164:C164)</f>
        <v>0</v>
      </c>
      <c r="D163" s="737">
        <f t="shared" si="35"/>
        <v>0</v>
      </c>
      <c r="E163" s="221">
        <f t="shared" si="35"/>
        <v>0</v>
      </c>
      <c r="F163" s="737">
        <f t="shared" si="35"/>
        <v>0</v>
      </c>
      <c r="G163" s="221">
        <f t="shared" si="35"/>
        <v>0</v>
      </c>
      <c r="H163" s="737">
        <f t="shared" si="35"/>
        <v>0</v>
      </c>
      <c r="I163" s="34">
        <f t="shared" si="29"/>
        <v>0</v>
      </c>
      <c r="J163" s="748"/>
      <c r="K163" s="734">
        <f>SUM(K164)</f>
        <v>0</v>
      </c>
    </row>
    <row r="164" spans="1:11" ht="12.75" customHeight="1" x14ac:dyDescent="0.25">
      <c r="A164" s="30" t="s">
        <v>1228</v>
      </c>
      <c r="B164" s="90"/>
      <c r="C164" s="744">
        <f>SC13CQ!B164</f>
        <v>0</v>
      </c>
      <c r="D164" s="744">
        <f>SC13CQ!C164</f>
        <v>0</v>
      </c>
      <c r="E164" s="331">
        <f>SC13CQ!D164</f>
        <v>0</v>
      </c>
      <c r="F164" s="704">
        <f>SC13CQ!E164</f>
        <v>0</v>
      </c>
      <c r="G164" s="331">
        <f>SC13CQ!F164</f>
        <v>0</v>
      </c>
      <c r="H164" s="704">
        <f>SC13CQ!G164</f>
        <v>0</v>
      </c>
      <c r="I164" s="34">
        <f t="shared" si="29"/>
        <v>0</v>
      </c>
      <c r="J164" s="748"/>
      <c r="K164" s="367">
        <f>SC13CQ!J164</f>
        <v>0</v>
      </c>
    </row>
    <row r="165" spans="1:11" ht="12.75" customHeight="1" x14ac:dyDescent="0.25">
      <c r="A165" s="616" t="s">
        <v>1342</v>
      </c>
      <c r="B165" s="90"/>
      <c r="C165" s="69">
        <f t="shared" ref="C165:H165" si="36">+C166+C169</f>
        <v>0</v>
      </c>
      <c r="D165" s="37">
        <f t="shared" si="36"/>
        <v>0</v>
      </c>
      <c r="E165" s="38">
        <f t="shared" si="36"/>
        <v>0</v>
      </c>
      <c r="F165" s="37">
        <f t="shared" si="36"/>
        <v>0</v>
      </c>
      <c r="G165" s="38">
        <f t="shared" si="36"/>
        <v>0</v>
      </c>
      <c r="H165" s="37">
        <f t="shared" si="36"/>
        <v>0</v>
      </c>
      <c r="I165" s="34">
        <f t="shared" si="29"/>
        <v>0</v>
      </c>
      <c r="J165" s="748"/>
      <c r="K165" s="717">
        <f>+K166+K169</f>
        <v>0</v>
      </c>
    </row>
    <row r="166" spans="1:11" ht="12.75" customHeight="1" x14ac:dyDescent="0.25">
      <c r="A166" s="612" t="s">
        <v>1343</v>
      </c>
      <c r="B166" s="90"/>
      <c r="C166" s="74">
        <f t="shared" ref="C166:H166" si="37">+C167+C168</f>
        <v>0</v>
      </c>
      <c r="D166" s="33">
        <f t="shared" si="37"/>
        <v>0</v>
      </c>
      <c r="E166" s="34">
        <f t="shared" si="37"/>
        <v>0</v>
      </c>
      <c r="F166" s="33">
        <f t="shared" si="37"/>
        <v>0</v>
      </c>
      <c r="G166" s="34">
        <f t="shared" si="37"/>
        <v>0</v>
      </c>
      <c r="H166" s="33">
        <f t="shared" si="37"/>
        <v>0</v>
      </c>
      <c r="I166" s="34">
        <f t="shared" si="29"/>
        <v>0</v>
      </c>
      <c r="J166" s="748"/>
      <c r="K166" s="35">
        <f>+K167+K168</f>
        <v>0</v>
      </c>
    </row>
    <row r="167" spans="1:11" ht="12.75" customHeight="1" x14ac:dyDescent="0.25">
      <c r="A167" s="617" t="s">
        <v>1344</v>
      </c>
      <c r="B167" s="90"/>
      <c r="C167" s="379"/>
      <c r="D167" s="365"/>
      <c r="E167" s="331"/>
      <c r="F167" s="704"/>
      <c r="G167" s="331"/>
      <c r="H167" s="704"/>
      <c r="I167" s="34">
        <f t="shared" si="29"/>
        <v>0</v>
      </c>
      <c r="J167" s="748"/>
      <c r="K167" s="367"/>
    </row>
    <row r="168" spans="1:11" ht="12.75" customHeight="1" x14ac:dyDescent="0.25">
      <c r="A168" s="617" t="s">
        <v>1345</v>
      </c>
      <c r="B168" s="90"/>
      <c r="C168" s="379"/>
      <c r="D168" s="365"/>
      <c r="E168" s="331"/>
      <c r="F168" s="704"/>
      <c r="G168" s="331"/>
      <c r="H168" s="704"/>
      <c r="I168" s="34">
        <f t="shared" si="29"/>
        <v>0</v>
      </c>
      <c r="J168" s="748"/>
      <c r="K168" s="367"/>
    </row>
    <row r="169" spans="1:11" ht="12.75" customHeight="1" x14ac:dyDescent="0.25">
      <c r="A169" s="612" t="s">
        <v>1346</v>
      </c>
      <c r="B169" s="90"/>
      <c r="C169" s="74">
        <f t="shared" ref="C169:H169" si="38">+C170+C171</f>
        <v>0</v>
      </c>
      <c r="D169" s="33">
        <f t="shared" si="38"/>
        <v>0</v>
      </c>
      <c r="E169" s="34">
        <f t="shared" si="38"/>
        <v>0</v>
      </c>
      <c r="F169" s="33">
        <f t="shared" si="38"/>
        <v>0</v>
      </c>
      <c r="G169" s="34">
        <f t="shared" si="38"/>
        <v>0</v>
      </c>
      <c r="H169" s="33">
        <f t="shared" si="38"/>
        <v>0</v>
      </c>
      <c r="I169" s="34">
        <f t="shared" si="29"/>
        <v>0</v>
      </c>
      <c r="J169" s="748"/>
      <c r="K169" s="35">
        <f>+K170+K171</f>
        <v>0</v>
      </c>
    </row>
    <row r="170" spans="1:11" ht="12.75" customHeight="1" x14ac:dyDescent="0.25">
      <c r="A170" s="617" t="s">
        <v>1344</v>
      </c>
      <c r="B170" s="90"/>
      <c r="C170" s="379"/>
      <c r="D170" s="365"/>
      <c r="E170" s="331"/>
      <c r="F170" s="704"/>
      <c r="G170" s="331"/>
      <c r="H170" s="704"/>
      <c r="I170" s="34">
        <f t="shared" si="29"/>
        <v>0</v>
      </c>
      <c r="J170" s="748"/>
      <c r="K170" s="367"/>
    </row>
    <row r="171" spans="1:11" ht="12.75" customHeight="1" x14ac:dyDescent="0.25">
      <c r="A171" s="617" t="s">
        <v>1345</v>
      </c>
      <c r="B171" s="90"/>
      <c r="C171" s="379"/>
      <c r="D171" s="365"/>
      <c r="E171" s="392"/>
      <c r="F171" s="704"/>
      <c r="G171" s="392"/>
      <c r="H171" s="704"/>
      <c r="I171" s="65">
        <f t="shared" si="29"/>
        <v>0</v>
      </c>
      <c r="J171" s="749"/>
      <c r="K171" s="367"/>
    </row>
    <row r="172" spans="1:11" x14ac:dyDescent="0.25">
      <c r="A172" s="40" t="s">
        <v>815</v>
      </c>
      <c r="B172" s="130">
        <v>1</v>
      </c>
      <c r="C172" s="71">
        <f t="shared" ref="C172:H172" si="39">C7+C75+C103+C110+C117+C135+C138+C148+C151+C154+C157+C160+C163+C165</f>
        <v>313718500.43000007</v>
      </c>
      <c r="D172" s="155">
        <f t="shared" si="39"/>
        <v>607361900</v>
      </c>
      <c r="E172" s="41">
        <f t="shared" si="39"/>
        <v>619441000</v>
      </c>
      <c r="F172" s="41">
        <f t="shared" si="39"/>
        <v>14179915.919999998</v>
      </c>
      <c r="G172" s="41">
        <f t="shared" si="39"/>
        <v>321033653.05000001</v>
      </c>
      <c r="H172" s="41">
        <f t="shared" si="39"/>
        <v>411022657.06</v>
      </c>
      <c r="I172" s="148">
        <f t="shared" si="29"/>
        <v>89989004.00999999</v>
      </c>
      <c r="J172" s="746">
        <f>IF(I172=0,"",I172/H172)</f>
        <v>0.21893927856357473</v>
      </c>
      <c r="K172" s="129">
        <f>K7+K75+K103+K110+K117+K135+K138+K148+K151+K154+K157+K160+K163+K165</f>
        <v>619441000</v>
      </c>
    </row>
    <row r="173" spans="1:11" ht="12.75" customHeight="1" x14ac:dyDescent="0.25">
      <c r="A173" s="64"/>
      <c r="C173" s="316"/>
      <c r="D173" s="316"/>
      <c r="E173" s="316"/>
      <c r="F173" s="316"/>
      <c r="G173" s="316"/>
      <c r="H173" s="316"/>
      <c r="I173" s="725">
        <f t="shared" si="29"/>
        <v>0</v>
      </c>
      <c r="J173" s="316"/>
      <c r="K173" s="316"/>
    </row>
    <row r="174" spans="1:11" ht="12.75" customHeight="1" x14ac:dyDescent="0.25">
      <c r="A174" s="73"/>
      <c r="C174" s="316"/>
      <c r="D174" s="316"/>
      <c r="E174" s="316"/>
      <c r="F174" s="316"/>
      <c r="G174" s="316"/>
      <c r="H174" s="316"/>
      <c r="I174" s="316"/>
      <c r="J174" s="316"/>
      <c r="K174" s="316"/>
    </row>
    <row r="175" spans="1:11" ht="11.25" customHeight="1" x14ac:dyDescent="0.25">
      <c r="A175" s="73"/>
      <c r="C175" s="316"/>
      <c r="D175" s="316"/>
      <c r="E175" s="316"/>
      <c r="F175" s="316"/>
      <c r="G175" s="316"/>
      <c r="H175" s="316"/>
      <c r="I175" s="316"/>
      <c r="J175" s="316"/>
      <c r="K175" s="316"/>
    </row>
    <row r="176" spans="1:11" ht="11.25" customHeight="1" x14ac:dyDescent="0.25">
      <c r="A176" s="73"/>
      <c r="B176" s="44"/>
      <c r="C176" s="610"/>
      <c r="D176" s="610"/>
      <c r="E176" s="610"/>
      <c r="F176" s="418"/>
      <c r="G176" s="418"/>
      <c r="H176" s="418"/>
      <c r="I176" s="418"/>
      <c r="J176" s="418"/>
      <c r="K176" s="418"/>
    </row>
    <row r="177" spans="1:1" ht="11.25" customHeight="1" x14ac:dyDescent="0.25">
      <c r="A177" s="73"/>
    </row>
    <row r="178" spans="1:1" ht="11.25" customHeight="1" x14ac:dyDescent="0.25">
      <c r="A178" s="73"/>
    </row>
    <row r="179" spans="1:1" ht="11.25" customHeight="1" x14ac:dyDescent="0.25">
      <c r="A179" s="73"/>
    </row>
    <row r="180" spans="1:1" ht="11.25" customHeight="1" x14ac:dyDescent="0.25">
      <c r="A180" s="73"/>
    </row>
    <row r="181" spans="1:1" ht="11.25" customHeight="1" x14ac:dyDescent="0.25">
      <c r="A181" s="73"/>
    </row>
    <row r="182" spans="1:1" ht="11.25" customHeight="1" x14ac:dyDescent="0.25">
      <c r="A182" s="73"/>
    </row>
    <row r="183" spans="1:1" ht="11.25" customHeight="1" x14ac:dyDescent="0.25">
      <c r="A183" s="73"/>
    </row>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sheetData>
  <mergeCells count="3">
    <mergeCell ref="A1:K1"/>
    <mergeCell ref="A2:A3"/>
    <mergeCell ref="B2:B3"/>
  </mergeCells>
  <phoneticPr fontId="2" type="noConversion"/>
  <pageMargins left="1.1417322834645669" right="0.74803149606299213" top="0.98425196850393704" bottom="0.98425196850393704" header="0.51181102362204722" footer="0.51181102362204722"/>
  <pageSetup paperSize="8" scale="95" orientation="portrait" r:id="rId1"/>
  <headerFooter alignWithMargins="0">
    <oddFooter>&amp;L&amp;F&amp;C&amp;A&amp;R&amp;D</oddFooter>
  </headerFooter>
  <customProperties>
    <customPr name="_pios_id" r:id="rId2"/>
    <customPr name="CofWorksheetType" r:id="rId3"/>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165"/>
  <sheetViews>
    <sheetView topLeftCell="A133" workbookViewId="0"/>
  </sheetViews>
  <sheetFormatPr defaultRowHeight="12.75" x14ac:dyDescent="0.2"/>
  <cols>
    <col min="1" max="1" width="56.7109375" bestFit="1" customWidth="1"/>
    <col min="2" max="2" width="15" bestFit="1" customWidth="1"/>
    <col min="3" max="3" width="13.5703125" bestFit="1" customWidth="1"/>
    <col min="4" max="4" width="14.28515625" bestFit="1" customWidth="1"/>
    <col min="5" max="5" width="13.7109375" bestFit="1" customWidth="1"/>
    <col min="6" max="6" width="17.85546875" bestFit="1" customWidth="1"/>
    <col min="7" max="7" width="17.7109375" bestFit="1" customWidth="1"/>
    <col min="8" max="8" width="12.42578125" bestFit="1" customWidth="1"/>
    <col min="9" max="9" width="19.7109375" bestFit="1" customWidth="1"/>
    <col min="10" max="10" width="16" bestFit="1" customWidth="1"/>
  </cols>
  <sheetData>
    <row r="1" spans="1:10" x14ac:dyDescent="0.2">
      <c r="A1" s="756" t="s">
        <v>973</v>
      </c>
      <c r="B1" s="660" t="s">
        <v>471</v>
      </c>
      <c r="C1" s="660" t="s">
        <v>558</v>
      </c>
      <c r="D1" s="660" t="s">
        <v>773</v>
      </c>
      <c r="E1" s="660" t="s">
        <v>1545</v>
      </c>
      <c r="F1" s="660" t="s">
        <v>1546</v>
      </c>
      <c r="G1" s="660" t="s">
        <v>1547</v>
      </c>
      <c r="H1" s="660" t="s">
        <v>1548</v>
      </c>
      <c r="I1" s="660" t="s">
        <v>1549</v>
      </c>
      <c r="J1" s="660" t="s">
        <v>774</v>
      </c>
    </row>
    <row r="2" spans="1:10" x14ac:dyDescent="0.2">
      <c r="A2" s="659" t="s">
        <v>2068</v>
      </c>
      <c r="B2" s="661" t="s">
        <v>973</v>
      </c>
      <c r="C2" s="661" t="s">
        <v>973</v>
      </c>
      <c r="D2" s="661" t="s">
        <v>973</v>
      </c>
      <c r="E2" s="661" t="s">
        <v>973</v>
      </c>
      <c r="F2" s="661" t="s">
        <v>973</v>
      </c>
      <c r="G2" s="661" t="s">
        <v>973</v>
      </c>
      <c r="H2" s="661" t="s">
        <v>973</v>
      </c>
      <c r="I2" s="661" t="s">
        <v>528</v>
      </c>
      <c r="J2" s="661" t="s">
        <v>973</v>
      </c>
    </row>
    <row r="3" spans="1:10" x14ac:dyDescent="0.2">
      <c r="A3" s="638" t="s">
        <v>814</v>
      </c>
      <c r="B3" s="637"/>
      <c r="C3" s="637"/>
      <c r="D3" s="637"/>
      <c r="E3" s="637"/>
      <c r="F3" s="637"/>
      <c r="G3" s="637"/>
      <c r="H3" s="637"/>
      <c r="I3" s="637"/>
      <c r="J3" s="637"/>
    </row>
    <row r="4" spans="1:10" x14ac:dyDescent="0.2">
      <c r="A4" s="639" t="s">
        <v>592</v>
      </c>
      <c r="B4" s="637">
        <v>193303793.12</v>
      </c>
      <c r="C4" s="637">
        <v>407679500</v>
      </c>
      <c r="D4" s="637">
        <v>400383600</v>
      </c>
      <c r="E4" s="637">
        <v>6884023.2199999997</v>
      </c>
      <c r="F4" s="637">
        <v>232460428.49000001</v>
      </c>
      <c r="G4" s="637">
        <v>301257056.25</v>
      </c>
      <c r="H4" s="637">
        <v>68796627.760000005</v>
      </c>
      <c r="I4" s="637">
        <v>541.76335712411606</v>
      </c>
      <c r="J4" s="637">
        <v>400383600</v>
      </c>
    </row>
    <row r="5" spans="1:10" x14ac:dyDescent="0.2">
      <c r="A5" s="640" t="s">
        <v>1119</v>
      </c>
      <c r="B5" s="637">
        <v>54905699.75</v>
      </c>
      <c r="C5" s="637">
        <v>92543200</v>
      </c>
      <c r="D5" s="637">
        <v>88604700</v>
      </c>
      <c r="E5" s="637">
        <v>4616579.84</v>
      </c>
      <c r="F5" s="637">
        <v>55207356.600000001</v>
      </c>
      <c r="G5" s="637">
        <v>68871067.659999996</v>
      </c>
      <c r="H5" s="637">
        <v>13663711.060000001</v>
      </c>
      <c r="I5" s="637">
        <v>149.47679731145999</v>
      </c>
      <c r="J5" s="637">
        <v>88604700</v>
      </c>
    </row>
    <row r="6" spans="1:10" x14ac:dyDescent="0.2">
      <c r="A6" s="641" t="s">
        <v>150</v>
      </c>
      <c r="B6" s="637">
        <v>50068516.119999997</v>
      </c>
      <c r="C6" s="637">
        <v>78336400</v>
      </c>
      <c r="D6" s="637">
        <v>75603400</v>
      </c>
      <c r="E6" s="637">
        <v>4314879.84</v>
      </c>
      <c r="F6" s="637">
        <v>52098212.859999999</v>
      </c>
      <c r="G6" s="637">
        <v>63425693.920000002</v>
      </c>
      <c r="H6" s="637">
        <v>11327481.060000001</v>
      </c>
      <c r="I6" s="637">
        <v>17.8594515249412</v>
      </c>
      <c r="J6" s="637">
        <v>75603400</v>
      </c>
    </row>
    <row r="7" spans="1:10" x14ac:dyDescent="0.2">
      <c r="A7" s="641" t="s">
        <v>1120</v>
      </c>
      <c r="B7" s="637">
        <v>854715.9</v>
      </c>
      <c r="C7" s="637">
        <v>2558500</v>
      </c>
      <c r="D7" s="637">
        <v>1572400</v>
      </c>
      <c r="E7" s="637"/>
      <c r="F7" s="637">
        <v>24800</v>
      </c>
      <c r="G7" s="637">
        <v>681400</v>
      </c>
      <c r="H7" s="637">
        <v>656600</v>
      </c>
      <c r="I7" s="637">
        <v>96.360434399765197</v>
      </c>
      <c r="J7" s="637">
        <v>1572400</v>
      </c>
    </row>
    <row r="8" spans="1:10" x14ac:dyDescent="0.2">
      <c r="A8" s="641" t="s">
        <v>1121</v>
      </c>
      <c r="B8" s="637">
        <v>3982467.73</v>
      </c>
      <c r="C8" s="637">
        <v>11648300</v>
      </c>
      <c r="D8" s="637">
        <v>11428900</v>
      </c>
      <c r="E8" s="637">
        <v>301700</v>
      </c>
      <c r="F8" s="637">
        <v>3084343.74</v>
      </c>
      <c r="G8" s="637">
        <v>4763973.74</v>
      </c>
      <c r="H8" s="637">
        <v>1679630</v>
      </c>
      <c r="I8" s="637">
        <v>35.256911386753401</v>
      </c>
      <c r="J8" s="637">
        <v>11428900</v>
      </c>
    </row>
    <row r="9" spans="1:10" x14ac:dyDescent="0.2">
      <c r="A9" s="641" t="s">
        <v>1122</v>
      </c>
      <c r="B9" s="637"/>
      <c r="C9" s="637"/>
      <c r="D9" s="637"/>
      <c r="E9" s="637"/>
      <c r="F9" s="637"/>
      <c r="G9" s="637"/>
      <c r="H9" s="637"/>
      <c r="I9" s="637"/>
      <c r="J9" s="637"/>
    </row>
    <row r="10" spans="1:10" x14ac:dyDescent="0.2">
      <c r="A10" s="640" t="s">
        <v>1123</v>
      </c>
      <c r="B10" s="637">
        <v>12631133.25</v>
      </c>
      <c r="C10" s="637">
        <v>15064100</v>
      </c>
      <c r="D10" s="637">
        <v>16110000</v>
      </c>
      <c r="E10" s="637">
        <v>215000</v>
      </c>
      <c r="F10" s="637">
        <v>14955393.93</v>
      </c>
      <c r="G10" s="637">
        <v>17967008.93</v>
      </c>
      <c r="H10" s="637">
        <v>3011615</v>
      </c>
      <c r="I10" s="637">
        <v>53.9432178640009</v>
      </c>
      <c r="J10" s="637">
        <v>16110000</v>
      </c>
    </row>
    <row r="11" spans="1:10" x14ac:dyDescent="0.2">
      <c r="A11" s="641" t="s">
        <v>1124</v>
      </c>
      <c r="B11" s="637">
        <v>8896577.1500000004</v>
      </c>
      <c r="C11" s="637">
        <v>12438000</v>
      </c>
      <c r="D11" s="637">
        <v>13869800</v>
      </c>
      <c r="E11" s="637"/>
      <c r="F11" s="637">
        <v>14388893.93</v>
      </c>
      <c r="G11" s="637">
        <v>17048193.93</v>
      </c>
      <c r="H11" s="637">
        <v>2659300</v>
      </c>
      <c r="I11" s="637">
        <v>15.5987197876743</v>
      </c>
      <c r="J11" s="637">
        <v>13869800</v>
      </c>
    </row>
    <row r="12" spans="1:10" x14ac:dyDescent="0.2">
      <c r="A12" s="641" t="s">
        <v>1125</v>
      </c>
      <c r="B12" s="637">
        <v>3734556.1</v>
      </c>
      <c r="C12" s="637">
        <v>2626100</v>
      </c>
      <c r="D12" s="637">
        <v>2240200</v>
      </c>
      <c r="E12" s="637">
        <v>215000</v>
      </c>
      <c r="F12" s="637">
        <v>566500</v>
      </c>
      <c r="G12" s="637">
        <v>918815</v>
      </c>
      <c r="H12" s="637">
        <v>352315</v>
      </c>
      <c r="I12" s="637">
        <v>38.344498076326602</v>
      </c>
      <c r="J12" s="637">
        <v>2240200</v>
      </c>
    </row>
    <row r="13" spans="1:10" x14ac:dyDescent="0.2">
      <c r="A13" s="641" t="s">
        <v>1126</v>
      </c>
      <c r="B13" s="637"/>
      <c r="C13" s="637"/>
      <c r="D13" s="637"/>
      <c r="E13" s="637"/>
      <c r="F13" s="637"/>
      <c r="G13" s="637"/>
      <c r="H13" s="637"/>
      <c r="I13" s="637"/>
      <c r="J13" s="637"/>
    </row>
    <row r="14" spans="1:10" x14ac:dyDescent="0.2">
      <c r="A14" s="640" t="s">
        <v>1127</v>
      </c>
      <c r="B14" s="637">
        <v>52244766.450000003</v>
      </c>
      <c r="C14" s="637">
        <v>119383700</v>
      </c>
      <c r="D14" s="637">
        <v>117480400</v>
      </c>
      <c r="E14" s="637">
        <v>676040.39</v>
      </c>
      <c r="F14" s="637">
        <v>59512221.149999999</v>
      </c>
      <c r="G14" s="637">
        <v>78049860.719999999</v>
      </c>
      <c r="H14" s="637">
        <v>18537639.57</v>
      </c>
      <c r="I14" s="637">
        <v>146.94739028741901</v>
      </c>
      <c r="J14" s="637">
        <v>117480400</v>
      </c>
    </row>
    <row r="15" spans="1:10" x14ac:dyDescent="0.2">
      <c r="A15" s="641" t="s">
        <v>1128</v>
      </c>
      <c r="B15" s="637"/>
      <c r="C15" s="637"/>
      <c r="D15" s="637"/>
      <c r="E15" s="637"/>
      <c r="F15" s="637"/>
      <c r="G15" s="637"/>
      <c r="H15" s="637"/>
      <c r="I15" s="637"/>
      <c r="J15" s="637"/>
    </row>
    <row r="16" spans="1:10" x14ac:dyDescent="0.2">
      <c r="A16" s="641" t="s">
        <v>1129</v>
      </c>
      <c r="B16" s="637"/>
      <c r="C16" s="637"/>
      <c r="D16" s="637"/>
      <c r="E16" s="637"/>
      <c r="F16" s="637"/>
      <c r="G16" s="637"/>
      <c r="H16" s="637"/>
      <c r="I16" s="637"/>
      <c r="J16" s="637"/>
    </row>
    <row r="17" spans="1:10" x14ac:dyDescent="0.2">
      <c r="A17" s="641" t="s">
        <v>1130</v>
      </c>
      <c r="B17" s="637"/>
      <c r="C17" s="637"/>
      <c r="D17" s="637"/>
      <c r="E17" s="637"/>
      <c r="F17" s="637"/>
      <c r="G17" s="637"/>
      <c r="H17" s="637"/>
      <c r="I17" s="637"/>
      <c r="J17" s="637"/>
    </row>
    <row r="18" spans="1:10" x14ac:dyDescent="0.2">
      <c r="A18" s="641" t="s">
        <v>1131</v>
      </c>
      <c r="B18" s="637">
        <v>10981184.76</v>
      </c>
      <c r="C18" s="637">
        <v>8422700</v>
      </c>
      <c r="D18" s="637">
        <v>9722700</v>
      </c>
      <c r="E18" s="637">
        <v>164871.45000000001</v>
      </c>
      <c r="F18" s="637">
        <v>7388986.0800000001</v>
      </c>
      <c r="G18" s="637">
        <v>6738651.3799999999</v>
      </c>
      <c r="H18" s="637">
        <v>-650334.69999999995</v>
      </c>
      <c r="I18" s="637">
        <v>-9.6508138398457994</v>
      </c>
      <c r="J18" s="637">
        <v>9722700</v>
      </c>
    </row>
    <row r="19" spans="1:10" x14ac:dyDescent="0.2">
      <c r="A19" s="641" t="s">
        <v>1132</v>
      </c>
      <c r="B19" s="637">
        <v>285159</v>
      </c>
      <c r="C19" s="637">
        <v>1766500</v>
      </c>
      <c r="D19" s="637">
        <v>1766500</v>
      </c>
      <c r="E19" s="637"/>
      <c r="F19" s="637"/>
      <c r="G19" s="637">
        <v>293700</v>
      </c>
      <c r="H19" s="637">
        <v>293700</v>
      </c>
      <c r="I19" s="637">
        <v>100</v>
      </c>
      <c r="J19" s="637">
        <v>1766500</v>
      </c>
    </row>
    <row r="20" spans="1:10" x14ac:dyDescent="0.2">
      <c r="A20" s="641" t="s">
        <v>1133</v>
      </c>
      <c r="B20" s="637"/>
      <c r="C20" s="637"/>
      <c r="D20" s="637"/>
      <c r="E20" s="637"/>
      <c r="F20" s="637"/>
      <c r="G20" s="637"/>
      <c r="H20" s="637"/>
      <c r="I20" s="637"/>
      <c r="J20" s="637"/>
    </row>
    <row r="21" spans="1:10" x14ac:dyDescent="0.2">
      <c r="A21" s="641" t="s">
        <v>1134</v>
      </c>
      <c r="B21" s="637">
        <v>31876851.300000001</v>
      </c>
      <c r="C21" s="637">
        <v>83188200</v>
      </c>
      <c r="D21" s="637">
        <v>80534900</v>
      </c>
      <c r="E21" s="637">
        <v>172121</v>
      </c>
      <c r="F21" s="637">
        <v>42070161.609999999</v>
      </c>
      <c r="G21" s="637">
        <v>56410372.899999999</v>
      </c>
      <c r="H21" s="637">
        <v>14340211.289999999</v>
      </c>
      <c r="I21" s="637">
        <v>25.421231154456699</v>
      </c>
      <c r="J21" s="637">
        <v>80534900</v>
      </c>
    </row>
    <row r="22" spans="1:10" x14ac:dyDescent="0.2">
      <c r="A22" s="641" t="s">
        <v>1135</v>
      </c>
      <c r="B22" s="637">
        <v>9101571.3900000006</v>
      </c>
      <c r="C22" s="637">
        <v>26006300</v>
      </c>
      <c r="D22" s="637">
        <v>25456300</v>
      </c>
      <c r="E22" s="637">
        <v>339047.94</v>
      </c>
      <c r="F22" s="637">
        <v>10053073.460000001</v>
      </c>
      <c r="G22" s="637">
        <v>14607136.439999999</v>
      </c>
      <c r="H22" s="637">
        <v>4554062.9800000004</v>
      </c>
      <c r="I22" s="637">
        <v>31.176972972808102</v>
      </c>
      <c r="J22" s="637">
        <v>25456300</v>
      </c>
    </row>
    <row r="23" spans="1:10" x14ac:dyDescent="0.2">
      <c r="A23" s="641" t="s">
        <v>1122</v>
      </c>
      <c r="B23" s="637"/>
      <c r="C23" s="637"/>
      <c r="D23" s="637"/>
      <c r="E23" s="637"/>
      <c r="F23" s="637"/>
      <c r="G23" s="637"/>
      <c r="H23" s="637"/>
      <c r="I23" s="637"/>
      <c r="J23" s="637"/>
    </row>
    <row r="24" spans="1:10" x14ac:dyDescent="0.2">
      <c r="A24" s="640" t="s">
        <v>1136</v>
      </c>
      <c r="B24" s="637">
        <v>46494808.479999997</v>
      </c>
      <c r="C24" s="637">
        <v>118081700</v>
      </c>
      <c r="D24" s="637">
        <v>117681700</v>
      </c>
      <c r="E24" s="637">
        <v>885525.31</v>
      </c>
      <c r="F24" s="637">
        <v>66656249.340000004</v>
      </c>
      <c r="G24" s="637">
        <v>89107469.480000004</v>
      </c>
      <c r="H24" s="637">
        <v>22451220.140000001</v>
      </c>
      <c r="I24" s="637">
        <v>30.799057457689301</v>
      </c>
      <c r="J24" s="637">
        <v>117681700</v>
      </c>
    </row>
    <row r="25" spans="1:10" x14ac:dyDescent="0.2">
      <c r="A25" s="641" t="s">
        <v>1137</v>
      </c>
      <c r="B25" s="637"/>
      <c r="C25" s="637"/>
      <c r="D25" s="637"/>
      <c r="E25" s="637"/>
      <c r="F25" s="637"/>
      <c r="G25" s="637"/>
      <c r="H25" s="637"/>
      <c r="I25" s="637"/>
      <c r="J25" s="637"/>
    </row>
    <row r="26" spans="1:10" x14ac:dyDescent="0.2">
      <c r="A26" s="641" t="s">
        <v>1138</v>
      </c>
      <c r="B26" s="637">
        <v>223860</v>
      </c>
      <c r="C26" s="637">
        <v>376500</v>
      </c>
      <c r="D26" s="637">
        <v>376500</v>
      </c>
      <c r="E26" s="637"/>
      <c r="F26" s="637"/>
      <c r="G26" s="637">
        <v>133000</v>
      </c>
      <c r="H26" s="637">
        <v>133000</v>
      </c>
      <c r="I26" s="637">
        <v>100</v>
      </c>
      <c r="J26" s="637">
        <v>376500</v>
      </c>
    </row>
    <row r="27" spans="1:10" x14ac:dyDescent="0.2">
      <c r="A27" s="641" t="s">
        <v>1139</v>
      </c>
      <c r="B27" s="637"/>
      <c r="C27" s="637"/>
      <c r="D27" s="637"/>
      <c r="E27" s="637"/>
      <c r="F27" s="637"/>
      <c r="G27" s="637"/>
      <c r="H27" s="637"/>
      <c r="I27" s="637"/>
      <c r="J27" s="637"/>
    </row>
    <row r="28" spans="1:10" x14ac:dyDescent="0.2">
      <c r="A28" s="641" t="s">
        <v>1140</v>
      </c>
      <c r="B28" s="637"/>
      <c r="C28" s="637"/>
      <c r="D28" s="637"/>
      <c r="E28" s="637"/>
      <c r="F28" s="637"/>
      <c r="G28" s="637"/>
      <c r="H28" s="637"/>
      <c r="I28" s="637"/>
      <c r="J28" s="637"/>
    </row>
    <row r="29" spans="1:10" x14ac:dyDescent="0.2">
      <c r="A29" s="641" t="s">
        <v>1141</v>
      </c>
      <c r="B29" s="637">
        <v>896056</v>
      </c>
      <c r="C29" s="637">
        <v>1557000</v>
      </c>
      <c r="D29" s="637">
        <v>1557000</v>
      </c>
      <c r="E29" s="637">
        <v>168847</v>
      </c>
      <c r="F29" s="637">
        <v>1032082.87</v>
      </c>
      <c r="G29" s="637">
        <v>495009.82</v>
      </c>
      <c r="H29" s="637">
        <v>-537073.05000000005</v>
      </c>
      <c r="I29" s="637">
        <v>-108.49745364647499</v>
      </c>
      <c r="J29" s="637">
        <v>1557000</v>
      </c>
    </row>
    <row r="30" spans="1:10" x14ac:dyDescent="0.2">
      <c r="A30" s="641" t="s">
        <v>1142</v>
      </c>
      <c r="B30" s="637"/>
      <c r="C30" s="637"/>
      <c r="D30" s="637"/>
      <c r="E30" s="637"/>
      <c r="F30" s="637"/>
      <c r="G30" s="637"/>
      <c r="H30" s="637"/>
      <c r="I30" s="637"/>
      <c r="J30" s="637"/>
    </row>
    <row r="31" spans="1:10" x14ac:dyDescent="0.2">
      <c r="A31" s="641" t="s">
        <v>1143</v>
      </c>
      <c r="B31" s="637">
        <v>43832993.670000002</v>
      </c>
      <c r="C31" s="637">
        <v>114305000</v>
      </c>
      <c r="D31" s="637">
        <v>114105000</v>
      </c>
      <c r="E31" s="637">
        <v>681978.31</v>
      </c>
      <c r="F31" s="637">
        <v>64081740.729999997</v>
      </c>
      <c r="G31" s="637">
        <v>86702337.150000006</v>
      </c>
      <c r="H31" s="637">
        <v>22620596.420000002</v>
      </c>
      <c r="I31" s="637">
        <v>26.0899500100731</v>
      </c>
      <c r="J31" s="637">
        <v>114105000</v>
      </c>
    </row>
    <row r="32" spans="1:10" x14ac:dyDescent="0.2">
      <c r="A32" s="641" t="s">
        <v>1144</v>
      </c>
      <c r="B32" s="637">
        <v>1541898.81</v>
      </c>
      <c r="C32" s="637">
        <v>1843200</v>
      </c>
      <c r="D32" s="637">
        <v>1643200</v>
      </c>
      <c r="E32" s="637">
        <v>34700</v>
      </c>
      <c r="F32" s="637">
        <v>1542425.74</v>
      </c>
      <c r="G32" s="637">
        <v>1777122.51</v>
      </c>
      <c r="H32" s="637">
        <v>234696.77</v>
      </c>
      <c r="I32" s="637">
        <v>13.2065610940914</v>
      </c>
      <c r="J32" s="637">
        <v>1643200</v>
      </c>
    </row>
    <row r="33" spans="1:10" x14ac:dyDescent="0.2">
      <c r="A33" s="641" t="s">
        <v>1145</v>
      </c>
      <c r="B33" s="637"/>
      <c r="C33" s="637"/>
      <c r="D33" s="637"/>
      <c r="E33" s="637"/>
      <c r="F33" s="637"/>
      <c r="G33" s="637"/>
      <c r="H33" s="637"/>
      <c r="I33" s="637"/>
      <c r="J33" s="637"/>
    </row>
    <row r="34" spans="1:10" x14ac:dyDescent="0.2">
      <c r="A34" s="641" t="s">
        <v>1122</v>
      </c>
      <c r="B34" s="637"/>
      <c r="C34" s="637"/>
      <c r="D34" s="637"/>
      <c r="E34" s="637"/>
      <c r="F34" s="637"/>
      <c r="G34" s="637"/>
      <c r="H34" s="637"/>
      <c r="I34" s="637"/>
      <c r="J34" s="637"/>
    </row>
    <row r="35" spans="1:10" x14ac:dyDescent="0.2">
      <c r="A35" s="640" t="s">
        <v>1146</v>
      </c>
      <c r="B35" s="637">
        <v>26479889.559999999</v>
      </c>
      <c r="C35" s="637">
        <v>61215600</v>
      </c>
      <c r="D35" s="637">
        <v>59115600</v>
      </c>
      <c r="E35" s="637">
        <v>382527.68</v>
      </c>
      <c r="F35" s="637">
        <v>36020857.469999999</v>
      </c>
      <c r="G35" s="637">
        <v>46671649.460000001</v>
      </c>
      <c r="H35" s="637">
        <v>10650791.99</v>
      </c>
      <c r="I35" s="637">
        <v>78.961300983208602</v>
      </c>
      <c r="J35" s="637">
        <v>59115600</v>
      </c>
    </row>
    <row r="36" spans="1:10" x14ac:dyDescent="0.2">
      <c r="A36" s="641" t="s">
        <v>1147</v>
      </c>
      <c r="B36" s="637">
        <v>5774821.0199999996</v>
      </c>
      <c r="C36" s="637">
        <v>22966100</v>
      </c>
      <c r="D36" s="637">
        <v>22966100</v>
      </c>
      <c r="E36" s="637">
        <v>1224</v>
      </c>
      <c r="F36" s="637">
        <v>8780546.1199999992</v>
      </c>
      <c r="G36" s="637">
        <v>13103322.51</v>
      </c>
      <c r="H36" s="637">
        <v>4322776.3899999997</v>
      </c>
      <c r="I36" s="637">
        <v>32.989925926809804</v>
      </c>
      <c r="J36" s="637">
        <v>22966100</v>
      </c>
    </row>
    <row r="37" spans="1:10" x14ac:dyDescent="0.2">
      <c r="A37" s="641" t="s">
        <v>117</v>
      </c>
      <c r="B37" s="637">
        <v>8800502.4199999999</v>
      </c>
      <c r="C37" s="637">
        <v>23380900</v>
      </c>
      <c r="D37" s="637">
        <v>22880900</v>
      </c>
      <c r="E37" s="637">
        <v>91428.44</v>
      </c>
      <c r="F37" s="637">
        <v>16141479.18</v>
      </c>
      <c r="G37" s="637">
        <v>21046741.289999999</v>
      </c>
      <c r="H37" s="637">
        <v>4905262.1100000003</v>
      </c>
      <c r="I37" s="637">
        <v>23.306515922874301</v>
      </c>
      <c r="J37" s="637">
        <v>22880900</v>
      </c>
    </row>
    <row r="38" spans="1:10" x14ac:dyDescent="0.2">
      <c r="A38" s="641" t="s">
        <v>1148</v>
      </c>
      <c r="B38" s="637">
        <v>6273936.2199999997</v>
      </c>
      <c r="C38" s="637">
        <v>8232000</v>
      </c>
      <c r="D38" s="637">
        <v>7132000</v>
      </c>
      <c r="E38" s="637">
        <v>289875.24</v>
      </c>
      <c r="F38" s="637">
        <v>5597327.1699999999</v>
      </c>
      <c r="G38" s="637">
        <v>6406055.6600000001</v>
      </c>
      <c r="H38" s="637">
        <v>808728.49</v>
      </c>
      <c r="I38" s="637">
        <v>12.6244374529834</v>
      </c>
      <c r="J38" s="637">
        <v>7132000</v>
      </c>
    </row>
    <row r="39" spans="1:10" x14ac:dyDescent="0.2">
      <c r="A39" s="641" t="s">
        <v>1149</v>
      </c>
      <c r="B39" s="637"/>
      <c r="C39" s="637"/>
      <c r="D39" s="637"/>
      <c r="E39" s="637"/>
      <c r="F39" s="637"/>
      <c r="G39" s="637"/>
      <c r="H39" s="637"/>
      <c r="I39" s="637"/>
      <c r="J39" s="637"/>
    </row>
    <row r="40" spans="1:10" x14ac:dyDescent="0.2">
      <c r="A40" s="641" t="s">
        <v>1150</v>
      </c>
      <c r="B40" s="637">
        <v>5630629.9000000004</v>
      </c>
      <c r="C40" s="637">
        <v>6636600</v>
      </c>
      <c r="D40" s="637">
        <v>6136600</v>
      </c>
      <c r="E40" s="637"/>
      <c r="F40" s="637">
        <v>5501505</v>
      </c>
      <c r="G40" s="637">
        <v>6115530</v>
      </c>
      <c r="H40" s="637">
        <v>614025</v>
      </c>
      <c r="I40" s="637">
        <v>10.040421680541201</v>
      </c>
      <c r="J40" s="637">
        <v>6136600</v>
      </c>
    </row>
    <row r="41" spans="1:10" x14ac:dyDescent="0.2">
      <c r="A41" s="641" t="s">
        <v>1122</v>
      </c>
      <c r="B41" s="637"/>
      <c r="C41" s="637"/>
      <c r="D41" s="637"/>
      <c r="E41" s="637"/>
      <c r="F41" s="637"/>
      <c r="G41" s="637"/>
      <c r="H41" s="637"/>
      <c r="I41" s="637"/>
      <c r="J41" s="637"/>
    </row>
    <row r="42" spans="1:10" x14ac:dyDescent="0.2">
      <c r="A42" s="640" t="s">
        <v>1151</v>
      </c>
      <c r="B42" s="637"/>
      <c r="C42" s="637"/>
      <c r="D42" s="637"/>
      <c r="E42" s="637"/>
      <c r="F42" s="637"/>
      <c r="G42" s="637"/>
      <c r="H42" s="637"/>
      <c r="I42" s="637"/>
      <c r="J42" s="637"/>
    </row>
    <row r="43" spans="1:10" x14ac:dyDescent="0.2">
      <c r="A43" s="641" t="s">
        <v>1152</v>
      </c>
      <c r="B43" s="637"/>
      <c r="C43" s="637"/>
      <c r="D43" s="637"/>
      <c r="E43" s="637"/>
      <c r="F43" s="637"/>
      <c r="G43" s="637"/>
      <c r="H43" s="637"/>
      <c r="I43" s="637"/>
      <c r="J43" s="637"/>
    </row>
    <row r="44" spans="1:10" x14ac:dyDescent="0.2">
      <c r="A44" s="641" t="s">
        <v>1153</v>
      </c>
      <c r="B44" s="637"/>
      <c r="C44" s="637"/>
      <c r="D44" s="637"/>
      <c r="E44" s="637"/>
      <c r="F44" s="637"/>
      <c r="G44" s="637"/>
      <c r="H44" s="637"/>
      <c r="I44" s="637"/>
      <c r="J44" s="637"/>
    </row>
    <row r="45" spans="1:10" x14ac:dyDescent="0.2">
      <c r="A45" s="641" t="s">
        <v>1154</v>
      </c>
      <c r="B45" s="637"/>
      <c r="C45" s="637"/>
      <c r="D45" s="637"/>
      <c r="E45" s="637"/>
      <c r="F45" s="637"/>
      <c r="G45" s="637"/>
      <c r="H45" s="637"/>
      <c r="I45" s="637"/>
      <c r="J45" s="637"/>
    </row>
    <row r="46" spans="1:10" x14ac:dyDescent="0.2">
      <c r="A46" s="641" t="s">
        <v>1155</v>
      </c>
      <c r="B46" s="637"/>
      <c r="C46" s="637"/>
      <c r="D46" s="637"/>
      <c r="E46" s="637"/>
      <c r="F46" s="637"/>
      <c r="G46" s="637"/>
      <c r="H46" s="637"/>
      <c r="I46" s="637"/>
      <c r="J46" s="637"/>
    </row>
    <row r="47" spans="1:10" x14ac:dyDescent="0.2">
      <c r="A47" s="641" t="s">
        <v>1156</v>
      </c>
      <c r="B47" s="637"/>
      <c r="C47" s="637"/>
      <c r="D47" s="637"/>
      <c r="E47" s="637"/>
      <c r="F47" s="637"/>
      <c r="G47" s="637"/>
      <c r="H47" s="637"/>
      <c r="I47" s="637"/>
      <c r="J47" s="637"/>
    </row>
    <row r="48" spans="1:10" x14ac:dyDescent="0.2">
      <c r="A48" s="641" t="s">
        <v>1157</v>
      </c>
      <c r="B48" s="637"/>
      <c r="C48" s="637"/>
      <c r="D48" s="637"/>
      <c r="E48" s="637"/>
      <c r="F48" s="637"/>
      <c r="G48" s="637"/>
      <c r="H48" s="637"/>
      <c r="I48" s="637"/>
      <c r="J48" s="637"/>
    </row>
    <row r="49" spans="1:10" x14ac:dyDescent="0.2">
      <c r="A49" s="641" t="s">
        <v>1122</v>
      </c>
      <c r="B49" s="637"/>
      <c r="C49" s="637"/>
      <c r="D49" s="637"/>
      <c r="E49" s="637"/>
      <c r="F49" s="637"/>
      <c r="G49" s="637"/>
      <c r="H49" s="637"/>
      <c r="I49" s="637"/>
      <c r="J49" s="637"/>
    </row>
    <row r="50" spans="1:10" x14ac:dyDescent="0.2">
      <c r="A50" s="640" t="s">
        <v>1158</v>
      </c>
      <c r="B50" s="637">
        <v>547495.63</v>
      </c>
      <c r="C50" s="637">
        <v>1391200</v>
      </c>
      <c r="D50" s="637">
        <v>1391200</v>
      </c>
      <c r="E50" s="637">
        <v>108350</v>
      </c>
      <c r="F50" s="637">
        <v>108350</v>
      </c>
      <c r="G50" s="637">
        <v>590000</v>
      </c>
      <c r="H50" s="637">
        <v>481650</v>
      </c>
      <c r="I50" s="637">
        <v>81.635593220339004</v>
      </c>
      <c r="J50" s="637">
        <v>1391200</v>
      </c>
    </row>
    <row r="51" spans="1:10" x14ac:dyDescent="0.2">
      <c r="A51" s="641" t="s">
        <v>1159</v>
      </c>
      <c r="B51" s="637">
        <v>547495.63</v>
      </c>
      <c r="C51" s="637">
        <v>1391200</v>
      </c>
      <c r="D51" s="637">
        <v>1391200</v>
      </c>
      <c r="E51" s="637">
        <v>108350</v>
      </c>
      <c r="F51" s="637">
        <v>108350</v>
      </c>
      <c r="G51" s="637">
        <v>590000</v>
      </c>
      <c r="H51" s="637">
        <v>481650</v>
      </c>
      <c r="I51" s="637">
        <v>81.635593220339004</v>
      </c>
      <c r="J51" s="637">
        <v>1391200</v>
      </c>
    </row>
    <row r="52" spans="1:10" x14ac:dyDescent="0.2">
      <c r="A52" s="641" t="s">
        <v>1160</v>
      </c>
      <c r="B52" s="637"/>
      <c r="C52" s="637"/>
      <c r="D52" s="637"/>
      <c r="E52" s="637"/>
      <c r="F52" s="637"/>
      <c r="G52" s="637"/>
      <c r="H52" s="637"/>
      <c r="I52" s="637"/>
      <c r="J52" s="637"/>
    </row>
    <row r="53" spans="1:10" x14ac:dyDescent="0.2">
      <c r="A53" s="641" t="s">
        <v>1161</v>
      </c>
      <c r="B53" s="637"/>
      <c r="C53" s="637"/>
      <c r="D53" s="637"/>
      <c r="E53" s="637"/>
      <c r="F53" s="637"/>
      <c r="G53" s="637"/>
      <c r="H53" s="637"/>
      <c r="I53" s="637"/>
      <c r="J53" s="637"/>
    </row>
    <row r="54" spans="1:10" x14ac:dyDescent="0.2">
      <c r="A54" s="641" t="s">
        <v>1124</v>
      </c>
      <c r="B54" s="637"/>
      <c r="C54" s="637"/>
      <c r="D54" s="637"/>
      <c r="E54" s="637"/>
      <c r="F54" s="637"/>
      <c r="G54" s="637"/>
      <c r="H54" s="637"/>
      <c r="I54" s="637"/>
      <c r="J54" s="637"/>
    </row>
    <row r="55" spans="1:10" x14ac:dyDescent="0.2">
      <c r="A55" s="641" t="s">
        <v>1125</v>
      </c>
      <c r="B55" s="637"/>
      <c r="C55" s="637"/>
      <c r="D55" s="637"/>
      <c r="E55" s="637"/>
      <c r="F55" s="637"/>
      <c r="G55" s="637"/>
      <c r="H55" s="637"/>
      <c r="I55" s="637"/>
      <c r="J55" s="637"/>
    </row>
    <row r="56" spans="1:10" x14ac:dyDescent="0.2">
      <c r="A56" s="641" t="s">
        <v>1126</v>
      </c>
      <c r="B56" s="637"/>
      <c r="C56" s="637"/>
      <c r="D56" s="637"/>
      <c r="E56" s="637"/>
      <c r="F56" s="637"/>
      <c r="G56" s="637"/>
      <c r="H56" s="637"/>
      <c r="I56" s="637"/>
      <c r="J56" s="637"/>
    </row>
    <row r="57" spans="1:10" x14ac:dyDescent="0.2">
      <c r="A57" s="641" t="s">
        <v>1132</v>
      </c>
      <c r="B57" s="637"/>
      <c r="C57" s="637"/>
      <c r="D57" s="637"/>
      <c r="E57" s="637"/>
      <c r="F57" s="637"/>
      <c r="G57" s="637"/>
      <c r="H57" s="637"/>
      <c r="I57" s="637"/>
      <c r="J57" s="637"/>
    </row>
    <row r="58" spans="1:10" x14ac:dyDescent="0.2">
      <c r="A58" s="641" t="s">
        <v>1135</v>
      </c>
      <c r="B58" s="637"/>
      <c r="C58" s="637"/>
      <c r="D58" s="637"/>
      <c r="E58" s="637"/>
      <c r="F58" s="637"/>
      <c r="G58" s="637"/>
      <c r="H58" s="637"/>
      <c r="I58" s="637"/>
      <c r="J58" s="637"/>
    </row>
    <row r="59" spans="1:10" x14ac:dyDescent="0.2">
      <c r="A59" s="641" t="s">
        <v>1122</v>
      </c>
      <c r="B59" s="637"/>
      <c r="C59" s="637"/>
      <c r="D59" s="637"/>
      <c r="E59" s="637"/>
      <c r="F59" s="637"/>
      <c r="G59" s="637"/>
      <c r="H59" s="637"/>
      <c r="I59" s="637"/>
      <c r="J59" s="637"/>
    </row>
    <row r="60" spans="1:10" x14ac:dyDescent="0.2">
      <c r="A60" s="640" t="s">
        <v>1162</v>
      </c>
      <c r="B60" s="637"/>
      <c r="C60" s="637"/>
      <c r="D60" s="637"/>
      <c r="E60" s="637"/>
      <c r="F60" s="637"/>
      <c r="G60" s="637"/>
      <c r="H60" s="637"/>
      <c r="I60" s="637"/>
      <c r="J60" s="637"/>
    </row>
    <row r="61" spans="1:10" x14ac:dyDescent="0.2">
      <c r="A61" s="641" t="s">
        <v>1163</v>
      </c>
      <c r="B61" s="637"/>
      <c r="C61" s="637"/>
      <c r="D61" s="637"/>
      <c r="E61" s="637"/>
      <c r="F61" s="637"/>
      <c r="G61" s="637"/>
      <c r="H61" s="637"/>
      <c r="I61" s="637"/>
      <c r="J61" s="637"/>
    </row>
    <row r="62" spans="1:10" x14ac:dyDescent="0.2">
      <c r="A62" s="641" t="s">
        <v>1164</v>
      </c>
      <c r="B62" s="637"/>
      <c r="C62" s="637"/>
      <c r="D62" s="637"/>
      <c r="E62" s="637"/>
      <c r="F62" s="637"/>
      <c r="G62" s="637"/>
      <c r="H62" s="637"/>
      <c r="I62" s="637"/>
      <c r="J62" s="637"/>
    </row>
    <row r="63" spans="1:10" x14ac:dyDescent="0.2">
      <c r="A63" s="641" t="s">
        <v>1165</v>
      </c>
      <c r="B63" s="637"/>
      <c r="C63" s="637"/>
      <c r="D63" s="637"/>
      <c r="E63" s="637"/>
      <c r="F63" s="637"/>
      <c r="G63" s="637"/>
      <c r="H63" s="637"/>
      <c r="I63" s="637"/>
      <c r="J63" s="637"/>
    </row>
    <row r="64" spans="1:10" x14ac:dyDescent="0.2">
      <c r="A64" s="641" t="s">
        <v>1166</v>
      </c>
      <c r="B64" s="637"/>
      <c r="C64" s="637"/>
      <c r="D64" s="637"/>
      <c r="E64" s="637"/>
      <c r="F64" s="637"/>
      <c r="G64" s="637"/>
      <c r="H64" s="637"/>
      <c r="I64" s="637"/>
      <c r="J64" s="637"/>
    </row>
    <row r="65" spans="1:10" x14ac:dyDescent="0.2">
      <c r="A65" s="641" t="s">
        <v>1122</v>
      </c>
      <c r="B65" s="637"/>
      <c r="C65" s="637"/>
      <c r="D65" s="637"/>
      <c r="E65" s="637"/>
      <c r="F65" s="637"/>
      <c r="G65" s="637"/>
      <c r="H65" s="637"/>
      <c r="I65" s="637"/>
      <c r="J65" s="637"/>
    </row>
    <row r="66" spans="1:10" x14ac:dyDescent="0.2">
      <c r="A66" s="640" t="s">
        <v>1167</v>
      </c>
      <c r="B66" s="637"/>
      <c r="C66" s="637"/>
      <c r="D66" s="637"/>
      <c r="E66" s="637"/>
      <c r="F66" s="637"/>
      <c r="G66" s="637"/>
      <c r="H66" s="637"/>
      <c r="I66" s="637"/>
      <c r="J66" s="637"/>
    </row>
    <row r="67" spans="1:10" x14ac:dyDescent="0.2">
      <c r="A67" s="641" t="s">
        <v>1168</v>
      </c>
      <c r="B67" s="637"/>
      <c r="C67" s="637"/>
      <c r="D67" s="637"/>
      <c r="E67" s="637"/>
      <c r="F67" s="637"/>
      <c r="G67" s="637"/>
      <c r="H67" s="637"/>
      <c r="I67" s="637"/>
      <c r="J67" s="637"/>
    </row>
    <row r="68" spans="1:10" x14ac:dyDescent="0.2">
      <c r="A68" s="641" t="s">
        <v>1169</v>
      </c>
      <c r="B68" s="637"/>
      <c r="C68" s="637"/>
      <c r="D68" s="637"/>
      <c r="E68" s="637"/>
      <c r="F68" s="637"/>
      <c r="G68" s="637"/>
      <c r="H68" s="637"/>
      <c r="I68" s="637"/>
      <c r="J68" s="637"/>
    </row>
    <row r="69" spans="1:10" x14ac:dyDescent="0.2">
      <c r="A69" s="641" t="s">
        <v>1170</v>
      </c>
      <c r="B69" s="637"/>
      <c r="C69" s="637"/>
      <c r="D69" s="637"/>
      <c r="E69" s="637"/>
      <c r="F69" s="637"/>
      <c r="G69" s="637"/>
      <c r="H69" s="637"/>
      <c r="I69" s="637"/>
      <c r="J69" s="637"/>
    </row>
    <row r="70" spans="1:10" x14ac:dyDescent="0.2">
      <c r="A70" s="641" t="s">
        <v>1122</v>
      </c>
      <c r="B70" s="637"/>
      <c r="C70" s="637"/>
      <c r="D70" s="637"/>
      <c r="E70" s="637"/>
      <c r="F70" s="637"/>
      <c r="G70" s="637"/>
      <c r="H70" s="637"/>
      <c r="I70" s="637"/>
      <c r="J70" s="637"/>
    </row>
    <row r="71" spans="1:10" x14ac:dyDescent="0.2">
      <c r="A71" s="639" t="s">
        <v>1191</v>
      </c>
      <c r="B71" s="637">
        <v>33622415.299999997</v>
      </c>
      <c r="C71" s="637">
        <v>77051700</v>
      </c>
      <c r="D71" s="637">
        <v>81663200</v>
      </c>
      <c r="E71" s="637">
        <v>901279.69</v>
      </c>
      <c r="F71" s="637">
        <v>9994251.6300000008</v>
      </c>
      <c r="G71" s="637">
        <v>26320252.329999998</v>
      </c>
      <c r="H71" s="637">
        <v>16326000.699999999</v>
      </c>
      <c r="I71" s="637">
        <v>140.72719591445599</v>
      </c>
      <c r="J71" s="637">
        <v>81663200</v>
      </c>
    </row>
    <row r="72" spans="1:10" x14ac:dyDescent="0.2">
      <c r="A72" s="640" t="s">
        <v>1171</v>
      </c>
      <c r="B72" s="637">
        <v>32703248.539999999</v>
      </c>
      <c r="C72" s="637">
        <v>74622900</v>
      </c>
      <c r="D72" s="637">
        <v>79380000</v>
      </c>
      <c r="E72" s="637">
        <v>901279.69</v>
      </c>
      <c r="F72" s="637">
        <v>9275502.7300000004</v>
      </c>
      <c r="G72" s="637">
        <v>25352069.43</v>
      </c>
      <c r="H72" s="637">
        <v>16076566.699999999</v>
      </c>
      <c r="I72" s="637">
        <v>114.96408855116699</v>
      </c>
      <c r="J72" s="637">
        <v>79380000</v>
      </c>
    </row>
    <row r="73" spans="1:10" x14ac:dyDescent="0.2">
      <c r="A73" s="641" t="s">
        <v>1172</v>
      </c>
      <c r="B73" s="637">
        <v>563774.86</v>
      </c>
      <c r="C73" s="637">
        <v>773700</v>
      </c>
      <c r="D73" s="637">
        <v>723700</v>
      </c>
      <c r="E73" s="637">
        <v>58410</v>
      </c>
      <c r="F73" s="637">
        <v>502346.37</v>
      </c>
      <c r="G73" s="637">
        <v>771636.37</v>
      </c>
      <c r="H73" s="637">
        <v>269290</v>
      </c>
      <c r="I73" s="637">
        <v>34.898562388913803</v>
      </c>
      <c r="J73" s="637">
        <v>723700</v>
      </c>
    </row>
    <row r="74" spans="1:10" x14ac:dyDescent="0.2">
      <c r="A74" s="641" t="s">
        <v>1173</v>
      </c>
      <c r="B74" s="637"/>
      <c r="C74" s="637"/>
      <c r="D74" s="637"/>
      <c r="E74" s="637"/>
      <c r="F74" s="637"/>
      <c r="G74" s="637"/>
      <c r="H74" s="637"/>
      <c r="I74" s="637"/>
      <c r="J74" s="637"/>
    </row>
    <row r="75" spans="1:10" x14ac:dyDescent="0.2">
      <c r="A75" s="641" t="s">
        <v>1174</v>
      </c>
      <c r="B75" s="637"/>
      <c r="C75" s="637"/>
      <c r="D75" s="637"/>
      <c r="E75" s="637"/>
      <c r="F75" s="637"/>
      <c r="G75" s="637"/>
      <c r="H75" s="637"/>
      <c r="I75" s="637"/>
      <c r="J75" s="637"/>
    </row>
    <row r="76" spans="1:10" x14ac:dyDescent="0.2">
      <c r="A76" s="641" t="s">
        <v>1175</v>
      </c>
      <c r="B76" s="637"/>
      <c r="C76" s="637"/>
      <c r="D76" s="637"/>
      <c r="E76" s="637"/>
      <c r="F76" s="637"/>
      <c r="G76" s="637"/>
      <c r="H76" s="637"/>
      <c r="I76" s="637"/>
      <c r="J76" s="637"/>
    </row>
    <row r="77" spans="1:10" x14ac:dyDescent="0.2">
      <c r="A77" s="641" t="s">
        <v>1176</v>
      </c>
      <c r="B77" s="637">
        <v>120738.54</v>
      </c>
      <c r="C77" s="637">
        <v>2076000</v>
      </c>
      <c r="D77" s="637">
        <v>283100</v>
      </c>
      <c r="E77" s="637"/>
      <c r="F77" s="637">
        <v>226905.3</v>
      </c>
      <c r="G77" s="637">
        <v>558605.30000000005</v>
      </c>
      <c r="H77" s="637">
        <v>331700</v>
      </c>
      <c r="I77" s="637">
        <v>59.380030944926602</v>
      </c>
      <c r="J77" s="637">
        <v>283100</v>
      </c>
    </row>
    <row r="78" spans="1:10" x14ac:dyDescent="0.2">
      <c r="A78" s="641" t="s">
        <v>1177</v>
      </c>
      <c r="B78" s="637"/>
      <c r="C78" s="637"/>
      <c r="D78" s="637"/>
      <c r="E78" s="637"/>
      <c r="F78" s="637"/>
      <c r="G78" s="637"/>
      <c r="H78" s="637"/>
      <c r="I78" s="637"/>
      <c r="J78" s="637"/>
    </row>
    <row r="79" spans="1:10" x14ac:dyDescent="0.2">
      <c r="A79" s="641" t="s">
        <v>1178</v>
      </c>
      <c r="B79" s="637"/>
      <c r="C79" s="637"/>
      <c r="D79" s="637"/>
      <c r="E79" s="637"/>
      <c r="F79" s="637"/>
      <c r="G79" s="637"/>
      <c r="H79" s="637"/>
      <c r="I79" s="637"/>
      <c r="J79" s="637"/>
    </row>
    <row r="80" spans="1:10" x14ac:dyDescent="0.2">
      <c r="A80" s="641" t="s">
        <v>1179</v>
      </c>
      <c r="B80" s="637"/>
      <c r="C80" s="637"/>
      <c r="D80" s="637"/>
      <c r="E80" s="637"/>
      <c r="F80" s="637"/>
      <c r="G80" s="637"/>
      <c r="H80" s="637"/>
      <c r="I80" s="637"/>
      <c r="J80" s="637"/>
    </row>
    <row r="81" spans="1:10" x14ac:dyDescent="0.2">
      <c r="A81" s="641" t="s">
        <v>1055</v>
      </c>
      <c r="B81" s="637"/>
      <c r="C81" s="637"/>
      <c r="D81" s="637"/>
      <c r="E81" s="637"/>
      <c r="F81" s="637"/>
      <c r="G81" s="637"/>
      <c r="H81" s="637"/>
      <c r="I81" s="637"/>
      <c r="J81" s="637"/>
    </row>
    <row r="82" spans="1:10" x14ac:dyDescent="0.2">
      <c r="A82" s="641" t="s">
        <v>508</v>
      </c>
      <c r="B82" s="637">
        <v>149439.04000000001</v>
      </c>
      <c r="C82" s="637">
        <v>368200</v>
      </c>
      <c r="D82" s="637">
        <v>368200</v>
      </c>
      <c r="E82" s="637"/>
      <c r="F82" s="637">
        <v>448973.59</v>
      </c>
      <c r="G82" s="637">
        <v>530973.59</v>
      </c>
      <c r="H82" s="637">
        <v>82000</v>
      </c>
      <c r="I82" s="637">
        <v>15.4433293000505</v>
      </c>
      <c r="J82" s="637">
        <v>368200</v>
      </c>
    </row>
    <row r="83" spans="1:10" x14ac:dyDescent="0.2">
      <c r="A83" s="641" t="s">
        <v>1180</v>
      </c>
      <c r="B83" s="637">
        <v>858685.65</v>
      </c>
      <c r="C83" s="637">
        <v>1621500</v>
      </c>
      <c r="D83" s="637">
        <v>1621500</v>
      </c>
      <c r="E83" s="637">
        <v>13832</v>
      </c>
      <c r="F83" s="637">
        <v>642286.09</v>
      </c>
      <c r="G83" s="637">
        <v>897134.09</v>
      </c>
      <c r="H83" s="637">
        <v>254848</v>
      </c>
      <c r="I83" s="637">
        <v>28.406901804389101</v>
      </c>
      <c r="J83" s="637">
        <v>1621500</v>
      </c>
    </row>
    <row r="84" spans="1:10" x14ac:dyDescent="0.2">
      <c r="A84" s="641" t="s">
        <v>148</v>
      </c>
      <c r="B84" s="637"/>
      <c r="C84" s="637"/>
      <c r="D84" s="637"/>
      <c r="E84" s="637"/>
      <c r="F84" s="637"/>
      <c r="G84" s="637"/>
      <c r="H84" s="637"/>
      <c r="I84" s="637"/>
      <c r="J84" s="637"/>
    </row>
    <row r="85" spans="1:10" x14ac:dyDescent="0.2">
      <c r="A85" s="641" t="s">
        <v>1181</v>
      </c>
      <c r="B85" s="637">
        <v>31000899.57</v>
      </c>
      <c r="C85" s="637">
        <v>69749300</v>
      </c>
      <c r="D85" s="637">
        <v>69549300</v>
      </c>
      <c r="E85" s="637">
        <v>245696.69</v>
      </c>
      <c r="F85" s="637">
        <v>5543674.3300000001</v>
      </c>
      <c r="G85" s="637">
        <v>21624687.530000001</v>
      </c>
      <c r="H85" s="637">
        <v>16081013.199999999</v>
      </c>
      <c r="I85" s="637">
        <v>74.364141343965102</v>
      </c>
      <c r="J85" s="637">
        <v>69549300</v>
      </c>
    </row>
    <row r="86" spans="1:10" x14ac:dyDescent="0.2">
      <c r="A86" s="641" t="s">
        <v>1182</v>
      </c>
      <c r="B86" s="637"/>
      <c r="C86" s="637"/>
      <c r="D86" s="637">
        <v>6800000</v>
      </c>
      <c r="E86" s="637">
        <v>583341</v>
      </c>
      <c r="F86" s="637">
        <v>1857322</v>
      </c>
      <c r="G86" s="637">
        <v>911437.5</v>
      </c>
      <c r="H86" s="637">
        <v>-945884.5</v>
      </c>
      <c r="I86" s="637">
        <v>-103.779414386615</v>
      </c>
      <c r="J86" s="637">
        <v>6800000</v>
      </c>
    </row>
    <row r="87" spans="1:10" x14ac:dyDescent="0.2">
      <c r="A87" s="641" t="s">
        <v>1183</v>
      </c>
      <c r="B87" s="637"/>
      <c r="C87" s="637"/>
      <c r="D87" s="637"/>
      <c r="E87" s="637"/>
      <c r="F87" s="637"/>
      <c r="G87" s="637"/>
      <c r="H87" s="637"/>
      <c r="I87" s="637"/>
      <c r="J87" s="637"/>
    </row>
    <row r="88" spans="1:10" x14ac:dyDescent="0.2">
      <c r="A88" s="641" t="s">
        <v>1184</v>
      </c>
      <c r="B88" s="637"/>
      <c r="C88" s="637">
        <v>34200</v>
      </c>
      <c r="D88" s="637">
        <v>34200</v>
      </c>
      <c r="E88" s="637"/>
      <c r="F88" s="637">
        <v>53995.05</v>
      </c>
      <c r="G88" s="637">
        <v>57595.05</v>
      </c>
      <c r="H88" s="637">
        <v>3600</v>
      </c>
      <c r="I88" s="637">
        <v>6.2505371555367999</v>
      </c>
      <c r="J88" s="637">
        <v>34200</v>
      </c>
    </row>
    <row r="89" spans="1:10" x14ac:dyDescent="0.2">
      <c r="A89" s="641" t="s">
        <v>402</v>
      </c>
      <c r="B89" s="637"/>
      <c r="C89" s="637"/>
      <c r="D89" s="637"/>
      <c r="E89" s="637"/>
      <c r="F89" s="637"/>
      <c r="G89" s="637"/>
      <c r="H89" s="637"/>
      <c r="I89" s="637"/>
      <c r="J89" s="637"/>
    </row>
    <row r="90" spans="1:10" x14ac:dyDescent="0.2">
      <c r="A90" s="641" t="s">
        <v>1185</v>
      </c>
      <c r="B90" s="637"/>
      <c r="C90" s="637"/>
      <c r="D90" s="637"/>
      <c r="E90" s="637"/>
      <c r="F90" s="637"/>
      <c r="G90" s="637"/>
      <c r="H90" s="637"/>
      <c r="I90" s="637"/>
      <c r="J90" s="637"/>
    </row>
    <row r="91" spans="1:10" x14ac:dyDescent="0.2">
      <c r="A91" s="641" t="s">
        <v>401</v>
      </c>
      <c r="B91" s="637"/>
      <c r="C91" s="637"/>
      <c r="D91" s="637"/>
      <c r="E91" s="637"/>
      <c r="F91" s="637"/>
      <c r="G91" s="637"/>
      <c r="H91" s="637"/>
      <c r="I91" s="637"/>
      <c r="J91" s="637"/>
    </row>
    <row r="92" spans="1:10" x14ac:dyDescent="0.2">
      <c r="A92" s="641" t="s">
        <v>1186</v>
      </c>
      <c r="B92" s="637"/>
      <c r="C92" s="637"/>
      <c r="D92" s="637"/>
      <c r="E92" s="637"/>
      <c r="F92" s="637"/>
      <c r="G92" s="637"/>
      <c r="H92" s="637"/>
      <c r="I92" s="637"/>
      <c r="J92" s="637"/>
    </row>
    <row r="93" spans="1:10" x14ac:dyDescent="0.2">
      <c r="A93" s="641" t="s">
        <v>1187</v>
      </c>
      <c r="B93" s="637">
        <v>9710.8799999999992</v>
      </c>
      <c r="C93" s="637"/>
      <c r="D93" s="637"/>
      <c r="E93" s="637"/>
      <c r="F93" s="637"/>
      <c r="G93" s="637"/>
      <c r="H93" s="637"/>
      <c r="I93" s="637"/>
      <c r="J93" s="637"/>
    </row>
    <row r="94" spans="1:10" x14ac:dyDescent="0.2">
      <c r="A94" s="641" t="s">
        <v>1122</v>
      </c>
      <c r="B94" s="637"/>
      <c r="C94" s="637"/>
      <c r="D94" s="637"/>
      <c r="E94" s="637"/>
      <c r="F94" s="637"/>
      <c r="G94" s="637"/>
      <c r="H94" s="637"/>
      <c r="I94" s="637"/>
      <c r="J94" s="637"/>
    </row>
    <row r="95" spans="1:10" x14ac:dyDescent="0.2">
      <c r="A95" s="640" t="s">
        <v>1188</v>
      </c>
      <c r="B95" s="637">
        <v>919166.76</v>
      </c>
      <c r="C95" s="637">
        <v>2428800</v>
      </c>
      <c r="D95" s="637">
        <v>2283200</v>
      </c>
      <c r="E95" s="637"/>
      <c r="F95" s="637">
        <v>718748.9</v>
      </c>
      <c r="G95" s="637">
        <v>968182.9</v>
      </c>
      <c r="H95" s="637">
        <v>249434</v>
      </c>
      <c r="I95" s="637">
        <v>25.763107363288501</v>
      </c>
      <c r="J95" s="637">
        <v>2283200</v>
      </c>
    </row>
    <row r="96" spans="1:10" x14ac:dyDescent="0.2">
      <c r="A96" s="641" t="s">
        <v>1189</v>
      </c>
      <c r="B96" s="637"/>
      <c r="C96" s="637"/>
      <c r="D96" s="637"/>
      <c r="E96" s="637"/>
      <c r="F96" s="637"/>
      <c r="G96" s="637"/>
      <c r="H96" s="637"/>
      <c r="I96" s="637"/>
      <c r="J96" s="637"/>
    </row>
    <row r="97" spans="1:10" x14ac:dyDescent="0.2">
      <c r="A97" s="641" t="s">
        <v>1190</v>
      </c>
      <c r="B97" s="637">
        <v>919166.76</v>
      </c>
      <c r="C97" s="637">
        <v>2428800</v>
      </c>
      <c r="D97" s="637">
        <v>2283200</v>
      </c>
      <c r="E97" s="637"/>
      <c r="F97" s="637">
        <v>718748.9</v>
      </c>
      <c r="G97" s="637">
        <v>968182.9</v>
      </c>
      <c r="H97" s="637">
        <v>249434</v>
      </c>
      <c r="I97" s="637">
        <v>25.763107363288501</v>
      </c>
      <c r="J97" s="637">
        <v>2283200</v>
      </c>
    </row>
    <row r="98" spans="1:10" x14ac:dyDescent="0.2">
      <c r="A98" s="641" t="s">
        <v>1122</v>
      </c>
      <c r="B98" s="637"/>
      <c r="C98" s="637"/>
      <c r="D98" s="637"/>
      <c r="E98" s="637"/>
      <c r="F98" s="637"/>
      <c r="G98" s="637"/>
      <c r="H98" s="637"/>
      <c r="I98" s="637"/>
      <c r="J98" s="637"/>
    </row>
    <row r="99" spans="1:10" x14ac:dyDescent="0.2">
      <c r="A99" s="639" t="s">
        <v>618</v>
      </c>
      <c r="B99" s="637"/>
      <c r="C99" s="637">
        <v>12400</v>
      </c>
      <c r="D99" s="637">
        <v>6700</v>
      </c>
      <c r="E99" s="637"/>
      <c r="F99" s="637"/>
      <c r="G99" s="637">
        <v>1800</v>
      </c>
      <c r="H99" s="637">
        <v>1800</v>
      </c>
      <c r="I99" s="637">
        <v>100</v>
      </c>
      <c r="J99" s="637">
        <v>6700</v>
      </c>
    </row>
    <row r="100" spans="1:10" x14ac:dyDescent="0.2">
      <c r="A100" s="640" t="s">
        <v>1192</v>
      </c>
      <c r="B100" s="637"/>
      <c r="C100" s="637"/>
      <c r="D100" s="637"/>
      <c r="E100" s="637"/>
      <c r="F100" s="637"/>
      <c r="G100" s="637"/>
      <c r="H100" s="637"/>
      <c r="I100" s="637"/>
      <c r="J100" s="637"/>
    </row>
    <row r="101" spans="1:10" x14ac:dyDescent="0.2">
      <c r="A101" s="641" t="s">
        <v>1192</v>
      </c>
      <c r="B101" s="637"/>
      <c r="C101" s="637"/>
      <c r="D101" s="637"/>
      <c r="E101" s="637"/>
      <c r="F101" s="637"/>
      <c r="G101" s="637"/>
      <c r="H101" s="637"/>
      <c r="I101" s="637"/>
      <c r="J101" s="637"/>
    </row>
    <row r="102" spans="1:10" x14ac:dyDescent="0.2">
      <c r="A102" s="640" t="s">
        <v>1193</v>
      </c>
      <c r="B102" s="637"/>
      <c r="C102" s="637">
        <v>12400</v>
      </c>
      <c r="D102" s="637">
        <v>6700</v>
      </c>
      <c r="E102" s="637"/>
      <c r="F102" s="637"/>
      <c r="G102" s="637">
        <v>1800</v>
      </c>
      <c r="H102" s="637">
        <v>1800</v>
      </c>
      <c r="I102" s="637">
        <v>100</v>
      </c>
      <c r="J102" s="637">
        <v>6700</v>
      </c>
    </row>
    <row r="103" spans="1:10" x14ac:dyDescent="0.2">
      <c r="A103" s="641" t="s">
        <v>1193</v>
      </c>
      <c r="B103" s="637"/>
      <c r="C103" s="637">
        <v>12400</v>
      </c>
      <c r="D103" s="637">
        <v>6700</v>
      </c>
      <c r="E103" s="637"/>
      <c r="F103" s="637"/>
      <c r="G103" s="637">
        <v>1800</v>
      </c>
      <c r="H103" s="637">
        <v>1800</v>
      </c>
      <c r="I103" s="637">
        <v>100</v>
      </c>
      <c r="J103" s="637">
        <v>6700</v>
      </c>
    </row>
    <row r="104" spans="1:10" x14ac:dyDescent="0.2">
      <c r="A104" s="640" t="s">
        <v>1194</v>
      </c>
      <c r="B104" s="637"/>
      <c r="C104" s="637"/>
      <c r="D104" s="637"/>
      <c r="E104" s="637"/>
      <c r="F104" s="637"/>
      <c r="G104" s="637"/>
      <c r="H104" s="637"/>
      <c r="I104" s="637"/>
      <c r="J104" s="637"/>
    </row>
    <row r="105" spans="1:10" x14ac:dyDescent="0.2">
      <c r="A105" s="641" t="s">
        <v>1194</v>
      </c>
      <c r="B105" s="637"/>
      <c r="C105" s="637"/>
      <c r="D105" s="637"/>
      <c r="E105" s="637"/>
      <c r="F105" s="637"/>
      <c r="G105" s="637"/>
      <c r="H105" s="637"/>
      <c r="I105" s="637"/>
      <c r="J105" s="637"/>
    </row>
    <row r="106" spans="1:10" x14ac:dyDescent="0.2">
      <c r="A106" s="640" t="s">
        <v>1195</v>
      </c>
      <c r="B106" s="637"/>
      <c r="C106" s="637"/>
      <c r="D106" s="637"/>
      <c r="E106" s="637"/>
      <c r="F106" s="637"/>
      <c r="G106" s="637"/>
      <c r="H106" s="637"/>
      <c r="I106" s="637"/>
      <c r="J106" s="637"/>
    </row>
    <row r="107" spans="1:10" x14ac:dyDescent="0.2">
      <c r="A107" s="641" t="s">
        <v>1195</v>
      </c>
      <c r="B107" s="637"/>
      <c r="C107" s="637"/>
      <c r="D107" s="637"/>
      <c r="E107" s="637"/>
      <c r="F107" s="637"/>
      <c r="G107" s="637"/>
      <c r="H107" s="637"/>
      <c r="I107" s="637"/>
      <c r="J107" s="637"/>
    </row>
    <row r="108" spans="1:10" x14ac:dyDescent="0.2">
      <c r="A108" s="640" t="s">
        <v>1196</v>
      </c>
      <c r="B108" s="637"/>
      <c r="C108" s="637"/>
      <c r="D108" s="637"/>
      <c r="E108" s="637"/>
      <c r="F108" s="637"/>
      <c r="G108" s="637"/>
      <c r="H108" s="637"/>
      <c r="I108" s="637"/>
      <c r="J108" s="637"/>
    </row>
    <row r="109" spans="1:10" x14ac:dyDescent="0.2">
      <c r="A109" s="641" t="s">
        <v>1196</v>
      </c>
      <c r="B109" s="637"/>
      <c r="C109" s="637"/>
      <c r="D109" s="637"/>
      <c r="E109" s="637"/>
      <c r="F109" s="637"/>
      <c r="G109" s="637"/>
      <c r="H109" s="637"/>
      <c r="I109" s="637"/>
      <c r="J109" s="637"/>
    </row>
    <row r="110" spans="1:10" x14ac:dyDescent="0.2">
      <c r="A110" s="639" t="s">
        <v>619</v>
      </c>
      <c r="B110" s="637"/>
      <c r="C110" s="637"/>
      <c r="D110" s="637"/>
      <c r="E110" s="637"/>
      <c r="F110" s="637"/>
      <c r="G110" s="637"/>
      <c r="H110" s="637"/>
      <c r="I110" s="637"/>
      <c r="J110" s="637"/>
    </row>
    <row r="111" spans="1:10" x14ac:dyDescent="0.2">
      <c r="A111" s="640" t="s">
        <v>1197</v>
      </c>
      <c r="B111" s="637"/>
      <c r="C111" s="637"/>
      <c r="D111" s="637"/>
      <c r="E111" s="637"/>
      <c r="F111" s="637"/>
      <c r="G111" s="637"/>
      <c r="H111" s="637"/>
      <c r="I111" s="637"/>
      <c r="J111" s="637"/>
    </row>
    <row r="112" spans="1:10" x14ac:dyDescent="0.2">
      <c r="A112" s="641" t="s">
        <v>1198</v>
      </c>
      <c r="B112" s="637"/>
      <c r="C112" s="637"/>
      <c r="D112" s="637"/>
      <c r="E112" s="637"/>
      <c r="F112" s="637"/>
      <c r="G112" s="637"/>
      <c r="H112" s="637"/>
      <c r="I112" s="637"/>
      <c r="J112" s="637"/>
    </row>
    <row r="113" spans="1:10" x14ac:dyDescent="0.2">
      <c r="A113" s="641" t="s">
        <v>1199</v>
      </c>
      <c r="B113" s="637"/>
      <c r="C113" s="637"/>
      <c r="D113" s="637"/>
      <c r="E113" s="637"/>
      <c r="F113" s="637"/>
      <c r="G113" s="637"/>
      <c r="H113" s="637"/>
      <c r="I113" s="637"/>
      <c r="J113" s="637"/>
    </row>
    <row r="114" spans="1:10" x14ac:dyDescent="0.2">
      <c r="A114" s="640" t="s">
        <v>1200</v>
      </c>
      <c r="B114" s="637"/>
      <c r="C114" s="637"/>
      <c r="D114" s="637"/>
      <c r="E114" s="637"/>
      <c r="F114" s="637"/>
      <c r="G114" s="637"/>
      <c r="H114" s="637"/>
      <c r="I114" s="637"/>
      <c r="J114" s="637"/>
    </row>
    <row r="115" spans="1:10" x14ac:dyDescent="0.2">
      <c r="A115" s="641" t="s">
        <v>1198</v>
      </c>
      <c r="B115" s="637"/>
      <c r="C115" s="637"/>
      <c r="D115" s="637"/>
      <c r="E115" s="637"/>
      <c r="F115" s="637"/>
      <c r="G115" s="637"/>
      <c r="H115" s="637"/>
      <c r="I115" s="637"/>
      <c r="J115" s="637"/>
    </row>
    <row r="116" spans="1:10" x14ac:dyDescent="0.2">
      <c r="A116" s="641" t="s">
        <v>1199</v>
      </c>
      <c r="B116" s="637"/>
      <c r="C116" s="637"/>
      <c r="D116" s="637"/>
      <c r="E116" s="637"/>
      <c r="F116" s="637"/>
      <c r="G116" s="637"/>
      <c r="H116" s="637"/>
      <c r="I116" s="637"/>
      <c r="J116" s="637"/>
    </row>
    <row r="117" spans="1:10" x14ac:dyDescent="0.2">
      <c r="A117" s="639" t="s">
        <v>620</v>
      </c>
      <c r="B117" s="637">
        <v>7842472.5899999999</v>
      </c>
      <c r="C117" s="637">
        <v>10924500</v>
      </c>
      <c r="D117" s="637">
        <v>11774500</v>
      </c>
      <c r="E117" s="637">
        <v>518890.8</v>
      </c>
      <c r="F117" s="637">
        <v>10684590.07</v>
      </c>
      <c r="G117" s="637">
        <v>9853226.2300000004</v>
      </c>
      <c r="H117" s="637">
        <v>-831363.84</v>
      </c>
      <c r="I117" s="637">
        <v>51.9372787148898</v>
      </c>
      <c r="J117" s="637">
        <v>11774500</v>
      </c>
    </row>
    <row r="118" spans="1:10" x14ac:dyDescent="0.2">
      <c r="A118" s="640" t="s">
        <v>1201</v>
      </c>
      <c r="B118" s="637">
        <v>7767541.6500000004</v>
      </c>
      <c r="C118" s="637">
        <v>10787000</v>
      </c>
      <c r="D118" s="637">
        <v>11637000</v>
      </c>
      <c r="E118" s="637">
        <v>518890.8</v>
      </c>
      <c r="F118" s="637">
        <v>10662324.07</v>
      </c>
      <c r="G118" s="637">
        <v>9796460.2300000004</v>
      </c>
      <c r="H118" s="637">
        <v>-865863.84</v>
      </c>
      <c r="I118" s="637">
        <v>-8.83853779499292</v>
      </c>
      <c r="J118" s="637">
        <v>11637000</v>
      </c>
    </row>
    <row r="119" spans="1:10" x14ac:dyDescent="0.2">
      <c r="A119" s="641" t="s">
        <v>1202</v>
      </c>
      <c r="B119" s="637">
        <v>7767541.6500000004</v>
      </c>
      <c r="C119" s="637">
        <v>10787000</v>
      </c>
      <c r="D119" s="637">
        <v>11637000</v>
      </c>
      <c r="E119" s="637">
        <v>518890.8</v>
      </c>
      <c r="F119" s="637">
        <v>10662324.07</v>
      </c>
      <c r="G119" s="637">
        <v>9796460.2300000004</v>
      </c>
      <c r="H119" s="637">
        <v>-865863.84</v>
      </c>
      <c r="I119" s="637">
        <v>-8.83853779499292</v>
      </c>
      <c r="J119" s="637">
        <v>11637000</v>
      </c>
    </row>
    <row r="120" spans="1:10" x14ac:dyDescent="0.2">
      <c r="A120" s="641" t="s">
        <v>1203</v>
      </c>
      <c r="B120" s="637"/>
      <c r="C120" s="637"/>
      <c r="D120" s="637"/>
      <c r="E120" s="637"/>
      <c r="F120" s="637"/>
      <c r="G120" s="637"/>
      <c r="H120" s="637"/>
      <c r="I120" s="637"/>
      <c r="J120" s="637"/>
    </row>
    <row r="121" spans="1:10" x14ac:dyDescent="0.2">
      <c r="A121" s="641" t="s">
        <v>1204</v>
      </c>
      <c r="B121" s="637"/>
      <c r="C121" s="637"/>
      <c r="D121" s="637"/>
      <c r="E121" s="637"/>
      <c r="F121" s="637"/>
      <c r="G121" s="637"/>
      <c r="H121" s="637"/>
      <c r="I121" s="637"/>
      <c r="J121" s="637"/>
    </row>
    <row r="122" spans="1:10" x14ac:dyDescent="0.2">
      <c r="A122" s="641" t="s">
        <v>1205</v>
      </c>
      <c r="B122" s="637"/>
      <c r="C122" s="637"/>
      <c r="D122" s="637"/>
      <c r="E122" s="637"/>
      <c r="F122" s="637"/>
      <c r="G122" s="637"/>
      <c r="H122" s="637"/>
      <c r="I122" s="637"/>
      <c r="J122" s="637"/>
    </row>
    <row r="123" spans="1:10" x14ac:dyDescent="0.2">
      <c r="A123" s="641" t="s">
        <v>1206</v>
      </c>
      <c r="B123" s="637"/>
      <c r="C123" s="637"/>
      <c r="D123" s="637"/>
      <c r="E123" s="637"/>
      <c r="F123" s="637"/>
      <c r="G123" s="637"/>
      <c r="H123" s="637"/>
      <c r="I123" s="637"/>
      <c r="J123" s="637"/>
    </row>
    <row r="124" spans="1:10" x14ac:dyDescent="0.2">
      <c r="A124" s="641" t="s">
        <v>1207</v>
      </c>
      <c r="B124" s="637"/>
      <c r="C124" s="637"/>
      <c r="D124" s="637"/>
      <c r="E124" s="637"/>
      <c r="F124" s="637"/>
      <c r="G124" s="637"/>
      <c r="H124" s="637"/>
      <c r="I124" s="637"/>
      <c r="J124" s="637"/>
    </row>
    <row r="125" spans="1:10" x14ac:dyDescent="0.2">
      <c r="A125" s="641" t="s">
        <v>1208</v>
      </c>
      <c r="B125" s="637"/>
      <c r="C125" s="637"/>
      <c r="D125" s="637"/>
      <c r="E125" s="637"/>
      <c r="F125" s="637"/>
      <c r="G125" s="637"/>
      <c r="H125" s="637"/>
      <c r="I125" s="637"/>
      <c r="J125" s="637"/>
    </row>
    <row r="126" spans="1:10" x14ac:dyDescent="0.2">
      <c r="A126" s="641" t="s">
        <v>1209</v>
      </c>
      <c r="B126" s="637"/>
      <c r="C126" s="637"/>
      <c r="D126" s="637"/>
      <c r="E126" s="637"/>
      <c r="F126" s="637"/>
      <c r="G126" s="637"/>
      <c r="H126" s="637"/>
      <c r="I126" s="637"/>
      <c r="J126" s="637"/>
    </row>
    <row r="127" spans="1:10" x14ac:dyDescent="0.2">
      <c r="A127" s="641" t="s">
        <v>1210</v>
      </c>
      <c r="B127" s="637"/>
      <c r="C127" s="637"/>
      <c r="D127" s="637"/>
      <c r="E127" s="637"/>
      <c r="F127" s="637"/>
      <c r="G127" s="637"/>
      <c r="H127" s="637"/>
      <c r="I127" s="637"/>
      <c r="J127" s="637"/>
    </row>
    <row r="128" spans="1:10" x14ac:dyDescent="0.2">
      <c r="A128" s="641" t="s">
        <v>1211</v>
      </c>
      <c r="B128" s="637"/>
      <c r="C128" s="637"/>
      <c r="D128" s="637"/>
      <c r="E128" s="637"/>
      <c r="F128" s="637"/>
      <c r="G128" s="637"/>
      <c r="H128" s="637"/>
      <c r="I128" s="637"/>
      <c r="J128" s="637"/>
    </row>
    <row r="129" spans="1:10" x14ac:dyDescent="0.2">
      <c r="A129" s="641" t="s">
        <v>1122</v>
      </c>
      <c r="B129" s="637"/>
      <c r="C129" s="637"/>
      <c r="D129" s="637"/>
      <c r="E129" s="637"/>
      <c r="F129" s="637"/>
      <c r="G129" s="637"/>
      <c r="H129" s="637"/>
      <c r="I129" s="637"/>
      <c r="J129" s="637"/>
    </row>
    <row r="130" spans="1:10" x14ac:dyDescent="0.2">
      <c r="A130" s="640" t="s">
        <v>659</v>
      </c>
      <c r="B130" s="637">
        <v>74930.94</v>
      </c>
      <c r="C130" s="637">
        <v>137500</v>
      </c>
      <c r="D130" s="637">
        <v>137500</v>
      </c>
      <c r="E130" s="637"/>
      <c r="F130" s="637">
        <v>22266</v>
      </c>
      <c r="G130" s="637">
        <v>56766</v>
      </c>
      <c r="H130" s="637">
        <v>34500</v>
      </c>
      <c r="I130" s="637">
        <v>60.775816509882702</v>
      </c>
      <c r="J130" s="637">
        <v>137500</v>
      </c>
    </row>
    <row r="131" spans="1:10" x14ac:dyDescent="0.2">
      <c r="A131" s="641" t="s">
        <v>1212</v>
      </c>
      <c r="B131" s="637"/>
      <c r="C131" s="637"/>
      <c r="D131" s="637"/>
      <c r="E131" s="637"/>
      <c r="F131" s="637"/>
      <c r="G131" s="637"/>
      <c r="H131" s="637"/>
      <c r="I131" s="637"/>
      <c r="J131" s="637"/>
    </row>
    <row r="132" spans="1:10" x14ac:dyDescent="0.2">
      <c r="A132" s="641" t="s">
        <v>1213</v>
      </c>
      <c r="B132" s="637">
        <v>74930.94</v>
      </c>
      <c r="C132" s="637">
        <v>137500</v>
      </c>
      <c r="D132" s="637">
        <v>137500</v>
      </c>
      <c r="E132" s="637"/>
      <c r="F132" s="637">
        <v>22266</v>
      </c>
      <c r="G132" s="637">
        <v>56766</v>
      </c>
      <c r="H132" s="637">
        <v>34500</v>
      </c>
      <c r="I132" s="637">
        <v>60.775816509882702</v>
      </c>
      <c r="J132" s="637">
        <v>137500</v>
      </c>
    </row>
    <row r="133" spans="1:10" x14ac:dyDescent="0.2">
      <c r="A133" s="641" t="s">
        <v>1122</v>
      </c>
      <c r="B133" s="637"/>
      <c r="C133" s="637"/>
      <c r="D133" s="637"/>
      <c r="E133" s="637"/>
      <c r="F133" s="637"/>
      <c r="G133" s="637"/>
      <c r="H133" s="637"/>
      <c r="I133" s="637"/>
      <c r="J133" s="637"/>
    </row>
    <row r="134" spans="1:10" x14ac:dyDescent="0.2">
      <c r="A134" s="639" t="s">
        <v>1214</v>
      </c>
      <c r="B134" s="637"/>
      <c r="C134" s="637"/>
      <c r="D134" s="637"/>
      <c r="E134" s="637"/>
      <c r="F134" s="637"/>
      <c r="G134" s="637"/>
      <c r="H134" s="637"/>
      <c r="I134" s="637"/>
      <c r="J134" s="637"/>
    </row>
    <row r="135" spans="1:10" x14ac:dyDescent="0.2">
      <c r="A135" s="640" t="s">
        <v>1214</v>
      </c>
      <c r="B135" s="637"/>
      <c r="C135" s="637"/>
      <c r="D135" s="637"/>
      <c r="E135" s="637"/>
      <c r="F135" s="637"/>
      <c r="G135" s="637"/>
      <c r="H135" s="637"/>
      <c r="I135" s="637"/>
      <c r="J135" s="637"/>
    </row>
    <row r="136" spans="1:10" x14ac:dyDescent="0.2">
      <c r="A136" s="641" t="s">
        <v>1214</v>
      </c>
      <c r="B136" s="637"/>
      <c r="C136" s="637"/>
      <c r="D136" s="637"/>
      <c r="E136" s="637"/>
      <c r="F136" s="637"/>
      <c r="G136" s="637"/>
      <c r="H136" s="637"/>
      <c r="I136" s="637"/>
      <c r="J136" s="637"/>
    </row>
    <row r="137" spans="1:10" x14ac:dyDescent="0.2">
      <c r="A137" s="639" t="s">
        <v>1215</v>
      </c>
      <c r="B137" s="637"/>
      <c r="C137" s="637"/>
      <c r="D137" s="637"/>
      <c r="E137" s="637"/>
      <c r="F137" s="637"/>
      <c r="G137" s="637"/>
      <c r="H137" s="637"/>
      <c r="I137" s="637"/>
      <c r="J137" s="637"/>
    </row>
    <row r="138" spans="1:10" x14ac:dyDescent="0.2">
      <c r="A138" s="640" t="s">
        <v>1216</v>
      </c>
      <c r="B138" s="637"/>
      <c r="C138" s="637"/>
      <c r="D138" s="637"/>
      <c r="E138" s="637"/>
      <c r="F138" s="637"/>
      <c r="G138" s="637"/>
      <c r="H138" s="637"/>
      <c r="I138" s="637"/>
      <c r="J138" s="637"/>
    </row>
    <row r="139" spans="1:10" x14ac:dyDescent="0.2">
      <c r="A139" s="641" t="s">
        <v>1216</v>
      </c>
      <c r="B139" s="637"/>
      <c r="C139" s="637"/>
      <c r="D139" s="637"/>
      <c r="E139" s="637"/>
      <c r="F139" s="637"/>
      <c r="G139" s="637"/>
      <c r="H139" s="637"/>
      <c r="I139" s="637"/>
      <c r="J139" s="637"/>
    </row>
    <row r="140" spans="1:10" x14ac:dyDescent="0.2">
      <c r="A140" s="640" t="s">
        <v>1217</v>
      </c>
      <c r="B140" s="637"/>
      <c r="C140" s="637"/>
      <c r="D140" s="637"/>
      <c r="E140" s="637"/>
      <c r="F140" s="637"/>
      <c r="G140" s="637"/>
      <c r="H140" s="637"/>
      <c r="I140" s="637"/>
      <c r="J140" s="637"/>
    </row>
    <row r="141" spans="1:10" x14ac:dyDescent="0.2">
      <c r="A141" s="641" t="s">
        <v>1218</v>
      </c>
      <c r="B141" s="637"/>
      <c r="C141" s="637"/>
      <c r="D141" s="637"/>
      <c r="E141" s="637"/>
      <c r="F141" s="637"/>
      <c r="G141" s="637"/>
      <c r="H141" s="637"/>
      <c r="I141" s="637"/>
      <c r="J141" s="637"/>
    </row>
    <row r="142" spans="1:10" x14ac:dyDescent="0.2">
      <c r="A142" s="641" t="s">
        <v>1219</v>
      </c>
      <c r="B142" s="637"/>
      <c r="C142" s="637"/>
      <c r="D142" s="637"/>
      <c r="E142" s="637"/>
      <c r="F142" s="637"/>
      <c r="G142" s="637"/>
      <c r="H142" s="637"/>
      <c r="I142" s="637"/>
      <c r="J142" s="637"/>
    </row>
    <row r="143" spans="1:10" x14ac:dyDescent="0.2">
      <c r="A143" s="641" t="s">
        <v>1220</v>
      </c>
      <c r="B143" s="637"/>
      <c r="C143" s="637"/>
      <c r="D143" s="637"/>
      <c r="E143" s="637"/>
      <c r="F143" s="637"/>
      <c r="G143" s="637"/>
      <c r="H143" s="637"/>
      <c r="I143" s="637"/>
      <c r="J143" s="637"/>
    </row>
    <row r="144" spans="1:10" x14ac:dyDescent="0.2">
      <c r="A144" s="641" t="s">
        <v>1221</v>
      </c>
      <c r="B144" s="637"/>
      <c r="C144" s="637"/>
      <c r="D144" s="637"/>
      <c r="E144" s="637"/>
      <c r="F144" s="637"/>
      <c r="G144" s="637"/>
      <c r="H144" s="637"/>
      <c r="I144" s="637"/>
      <c r="J144" s="637"/>
    </row>
    <row r="145" spans="1:10" x14ac:dyDescent="0.2">
      <c r="A145" s="641" t="s">
        <v>1222</v>
      </c>
      <c r="B145" s="637"/>
      <c r="C145" s="637"/>
      <c r="D145" s="637"/>
      <c r="E145" s="637"/>
      <c r="F145" s="637"/>
      <c r="G145" s="637"/>
      <c r="H145" s="637"/>
      <c r="I145" s="637"/>
      <c r="J145" s="637"/>
    </row>
    <row r="146" spans="1:10" x14ac:dyDescent="0.2">
      <c r="A146" s="641" t="s">
        <v>1223</v>
      </c>
      <c r="B146" s="637"/>
      <c r="C146" s="637"/>
      <c r="D146" s="637"/>
      <c r="E146" s="637"/>
      <c r="F146" s="637"/>
      <c r="G146" s="637"/>
      <c r="H146" s="637"/>
      <c r="I146" s="637"/>
      <c r="J146" s="637"/>
    </row>
    <row r="147" spans="1:10" x14ac:dyDescent="0.2">
      <c r="A147" s="639" t="s">
        <v>1224</v>
      </c>
      <c r="B147" s="637">
        <v>7119009.3300000001</v>
      </c>
      <c r="C147" s="637">
        <v>8512100</v>
      </c>
      <c r="D147" s="637">
        <v>8512100</v>
      </c>
      <c r="E147" s="637">
        <v>440185.13</v>
      </c>
      <c r="F147" s="637">
        <v>5626741.4299999997</v>
      </c>
      <c r="G147" s="637">
        <v>4317975.7</v>
      </c>
      <c r="H147" s="637">
        <v>-1308765.73</v>
      </c>
      <c r="I147" s="637">
        <v>-30.3097057725452</v>
      </c>
      <c r="J147" s="637">
        <v>8512100</v>
      </c>
    </row>
    <row r="148" spans="1:10" x14ac:dyDescent="0.2">
      <c r="A148" s="640" t="s">
        <v>1224</v>
      </c>
      <c r="B148" s="637">
        <v>7119009.3300000001</v>
      </c>
      <c r="C148" s="637">
        <v>8512100</v>
      </c>
      <c r="D148" s="637">
        <v>8512100</v>
      </c>
      <c r="E148" s="637">
        <v>440185.13</v>
      </c>
      <c r="F148" s="637">
        <v>5626741.4299999997</v>
      </c>
      <c r="G148" s="637">
        <v>4317975.7</v>
      </c>
      <c r="H148" s="637">
        <v>-1308765.73</v>
      </c>
      <c r="I148" s="637">
        <v>-30.3097057725452</v>
      </c>
      <c r="J148" s="637">
        <v>8512100</v>
      </c>
    </row>
    <row r="149" spans="1:10" x14ac:dyDescent="0.2">
      <c r="A149" s="641" t="s">
        <v>1224</v>
      </c>
      <c r="B149" s="637">
        <v>7119009.3300000001</v>
      </c>
      <c r="C149" s="637">
        <v>8512100</v>
      </c>
      <c r="D149" s="637">
        <v>8512100</v>
      </c>
      <c r="E149" s="637">
        <v>440185.13</v>
      </c>
      <c r="F149" s="637">
        <v>5626741.4299999997</v>
      </c>
      <c r="G149" s="637">
        <v>4317975.7</v>
      </c>
      <c r="H149" s="637">
        <v>-1308765.73</v>
      </c>
      <c r="I149" s="637">
        <v>-30.3097057725452</v>
      </c>
      <c r="J149" s="637">
        <v>8512100</v>
      </c>
    </row>
    <row r="150" spans="1:10" x14ac:dyDescent="0.2">
      <c r="A150" s="639" t="s">
        <v>1225</v>
      </c>
      <c r="B150" s="637">
        <v>13200</v>
      </c>
      <c r="C150" s="637">
        <v>84300</v>
      </c>
      <c r="D150" s="637">
        <v>17400</v>
      </c>
      <c r="E150" s="637"/>
      <c r="F150" s="637"/>
      <c r="G150" s="637"/>
      <c r="H150" s="637"/>
      <c r="I150" s="637"/>
      <c r="J150" s="637">
        <v>17400</v>
      </c>
    </row>
    <row r="151" spans="1:10" x14ac:dyDescent="0.2">
      <c r="A151" s="640" t="s">
        <v>1225</v>
      </c>
      <c r="B151" s="637">
        <v>13200</v>
      </c>
      <c r="C151" s="637">
        <v>84300</v>
      </c>
      <c r="D151" s="637">
        <v>17400</v>
      </c>
      <c r="E151" s="637"/>
      <c r="F151" s="637"/>
      <c r="G151" s="637"/>
      <c r="H151" s="637"/>
      <c r="I151" s="637"/>
      <c r="J151" s="637">
        <v>17400</v>
      </c>
    </row>
    <row r="152" spans="1:10" x14ac:dyDescent="0.2">
      <c r="A152" s="641" t="s">
        <v>1225</v>
      </c>
      <c r="B152" s="637">
        <v>13200</v>
      </c>
      <c r="C152" s="637">
        <v>84300</v>
      </c>
      <c r="D152" s="637">
        <v>17400</v>
      </c>
      <c r="E152" s="637"/>
      <c r="F152" s="637"/>
      <c r="G152" s="637"/>
      <c r="H152" s="637"/>
      <c r="I152" s="637"/>
      <c r="J152" s="637">
        <v>17400</v>
      </c>
    </row>
    <row r="153" spans="1:10" x14ac:dyDescent="0.2">
      <c r="A153" s="639" t="s">
        <v>1226</v>
      </c>
      <c r="B153" s="637">
        <v>21666040.370000001</v>
      </c>
      <c r="C153" s="637">
        <v>25809100</v>
      </c>
      <c r="D153" s="637">
        <v>26347300</v>
      </c>
      <c r="E153" s="637">
        <v>2724706.07</v>
      </c>
      <c r="F153" s="637">
        <v>22453434.600000001</v>
      </c>
      <c r="G153" s="637">
        <v>24530390.16</v>
      </c>
      <c r="H153" s="637">
        <v>2076955.56</v>
      </c>
      <c r="I153" s="637">
        <v>8.4668672061594297</v>
      </c>
      <c r="J153" s="637">
        <v>26347300</v>
      </c>
    </row>
    <row r="154" spans="1:10" x14ac:dyDescent="0.2">
      <c r="A154" s="640" t="s">
        <v>1226</v>
      </c>
      <c r="B154" s="637">
        <v>21666040.370000001</v>
      </c>
      <c r="C154" s="637">
        <v>25809100</v>
      </c>
      <c r="D154" s="637">
        <v>26347300</v>
      </c>
      <c r="E154" s="637">
        <v>2724706.07</v>
      </c>
      <c r="F154" s="637">
        <v>22453434.600000001</v>
      </c>
      <c r="G154" s="637">
        <v>24530390.16</v>
      </c>
      <c r="H154" s="637">
        <v>2076955.56</v>
      </c>
      <c r="I154" s="637">
        <v>8.4668672061594297</v>
      </c>
      <c r="J154" s="637">
        <v>26347300</v>
      </c>
    </row>
    <row r="155" spans="1:10" x14ac:dyDescent="0.2">
      <c r="A155" s="641" t="s">
        <v>1226</v>
      </c>
      <c r="B155" s="637">
        <v>21666040.370000001</v>
      </c>
      <c r="C155" s="637">
        <v>25809100</v>
      </c>
      <c r="D155" s="637">
        <v>26347300</v>
      </c>
      <c r="E155" s="637">
        <v>2724706.07</v>
      </c>
      <c r="F155" s="637">
        <v>22453434.600000001</v>
      </c>
      <c r="G155" s="637">
        <v>24530390.16</v>
      </c>
      <c r="H155" s="637">
        <v>2076955.56</v>
      </c>
      <c r="I155" s="637">
        <v>8.4668672061594297</v>
      </c>
      <c r="J155" s="637">
        <v>26347300</v>
      </c>
    </row>
    <row r="156" spans="1:10" x14ac:dyDescent="0.2">
      <c r="A156" s="639" t="s">
        <v>1227</v>
      </c>
      <c r="B156" s="637">
        <v>50151569.719999999</v>
      </c>
      <c r="C156" s="637">
        <v>77288300</v>
      </c>
      <c r="D156" s="637">
        <v>90736200</v>
      </c>
      <c r="E156" s="637">
        <v>2710831.01</v>
      </c>
      <c r="F156" s="637">
        <v>39814206.829999998</v>
      </c>
      <c r="G156" s="637">
        <v>44741956.390000001</v>
      </c>
      <c r="H156" s="637">
        <v>4927749.5599999996</v>
      </c>
      <c r="I156" s="637">
        <v>11.0137105249635</v>
      </c>
      <c r="J156" s="637">
        <v>90736200</v>
      </c>
    </row>
    <row r="157" spans="1:10" x14ac:dyDescent="0.2">
      <c r="A157" s="640" t="s">
        <v>1227</v>
      </c>
      <c r="B157" s="637">
        <v>50151569.719999999</v>
      </c>
      <c r="C157" s="637">
        <v>77288300</v>
      </c>
      <c r="D157" s="637">
        <v>90736200</v>
      </c>
      <c r="E157" s="637">
        <v>2710831.01</v>
      </c>
      <c r="F157" s="637">
        <v>39814206.829999998</v>
      </c>
      <c r="G157" s="637">
        <v>44741956.390000001</v>
      </c>
      <c r="H157" s="637">
        <v>4927749.5599999996</v>
      </c>
      <c r="I157" s="637">
        <v>11.0137105249635</v>
      </c>
      <c r="J157" s="637">
        <v>90736200</v>
      </c>
    </row>
    <row r="158" spans="1:10" x14ac:dyDescent="0.2">
      <c r="A158" s="641" t="s">
        <v>1227</v>
      </c>
      <c r="B158" s="637">
        <v>50151569.719999999</v>
      </c>
      <c r="C158" s="637">
        <v>77288300</v>
      </c>
      <c r="D158" s="637">
        <v>90736200</v>
      </c>
      <c r="E158" s="637">
        <v>2710831.01</v>
      </c>
      <c r="F158" s="637">
        <v>39814206.829999998</v>
      </c>
      <c r="G158" s="637">
        <v>44741956.390000001</v>
      </c>
      <c r="H158" s="637">
        <v>4927749.5599999996</v>
      </c>
      <c r="I158" s="637">
        <v>11.0137105249635</v>
      </c>
      <c r="J158" s="637">
        <v>90736200</v>
      </c>
    </row>
    <row r="159" spans="1:10" x14ac:dyDescent="0.2">
      <c r="A159" s="639" t="s">
        <v>1235</v>
      </c>
      <c r="B159" s="637"/>
      <c r="C159" s="637"/>
      <c r="D159" s="637"/>
      <c r="E159" s="637"/>
      <c r="F159" s="637"/>
      <c r="G159" s="637"/>
      <c r="H159" s="637"/>
      <c r="I159" s="637"/>
      <c r="J159" s="637"/>
    </row>
    <row r="160" spans="1:10" x14ac:dyDescent="0.2">
      <c r="A160" s="640" t="s">
        <v>1235</v>
      </c>
      <c r="B160" s="637"/>
      <c r="C160" s="637"/>
      <c r="D160" s="637"/>
      <c r="E160" s="637"/>
      <c r="F160" s="637"/>
      <c r="G160" s="637"/>
      <c r="H160" s="637"/>
      <c r="I160" s="637"/>
      <c r="J160" s="637"/>
    </row>
    <row r="161" spans="1:10" x14ac:dyDescent="0.2">
      <c r="A161" s="641" t="s">
        <v>1235</v>
      </c>
      <c r="B161" s="637"/>
      <c r="C161" s="637"/>
      <c r="D161" s="637"/>
      <c r="E161" s="637"/>
      <c r="F161" s="637"/>
      <c r="G161" s="637"/>
      <c r="H161" s="637"/>
      <c r="I161" s="637"/>
      <c r="J161" s="637"/>
    </row>
    <row r="162" spans="1:10" x14ac:dyDescent="0.2">
      <c r="A162" s="639" t="s">
        <v>1228</v>
      </c>
      <c r="B162" s="637"/>
      <c r="C162" s="637"/>
      <c r="D162" s="637"/>
      <c r="E162" s="637"/>
      <c r="F162" s="637"/>
      <c r="G162" s="637"/>
      <c r="H162" s="637"/>
      <c r="I162" s="637"/>
      <c r="J162" s="637"/>
    </row>
    <row r="163" spans="1:10" x14ac:dyDescent="0.2">
      <c r="A163" s="640" t="s">
        <v>1228</v>
      </c>
      <c r="B163" s="637"/>
      <c r="C163" s="637"/>
      <c r="D163" s="637"/>
      <c r="E163" s="637"/>
      <c r="F163" s="637"/>
      <c r="G163" s="637"/>
      <c r="H163" s="637"/>
      <c r="I163" s="637"/>
      <c r="J163" s="637"/>
    </row>
    <row r="164" spans="1:10" x14ac:dyDescent="0.2">
      <c r="A164" s="641" t="s">
        <v>1228</v>
      </c>
      <c r="B164" s="637"/>
      <c r="C164" s="637"/>
      <c r="D164" s="637"/>
      <c r="E164" s="637"/>
      <c r="F164" s="637"/>
      <c r="G164" s="637"/>
      <c r="H164" s="637"/>
      <c r="I164" s="637"/>
      <c r="J164" s="637"/>
    </row>
    <row r="165" spans="1:10" x14ac:dyDescent="0.2">
      <c r="A165" s="638" t="s">
        <v>815</v>
      </c>
      <c r="B165" s="637">
        <v>313718500.43000001</v>
      </c>
      <c r="C165" s="637">
        <v>607361900</v>
      </c>
      <c r="D165" s="637">
        <v>619441000</v>
      </c>
      <c r="E165" s="637">
        <v>14179915.92</v>
      </c>
      <c r="F165" s="637">
        <v>321033653.05000001</v>
      </c>
      <c r="G165" s="637">
        <v>411022657.06</v>
      </c>
      <c r="H165" s="637">
        <v>89989004.010000005</v>
      </c>
      <c r="I165" s="637">
        <v>823.59870371203999</v>
      </c>
      <c r="J165" s="637">
        <v>619441000</v>
      </c>
    </row>
  </sheetData>
  <pageMargins left="0.7" right="0.7" top="0.75" bottom="0.75" header="0.3" footer="0.3"/>
  <customProperties>
    <customPr name="_pios_id" r:id="rId1"/>
    <customPr name="CofWorksheetType"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K211"/>
  <sheetViews>
    <sheetView showGridLines="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34.28515625" style="21" customWidth="1"/>
    <col min="2" max="2" width="3.28515625" style="47" customWidth="1"/>
    <col min="3" max="8" width="8.7109375" style="21" customWidth="1"/>
    <col min="9"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x14ac:dyDescent="0.25">
      <c r="A1" s="851" t="str">
        <f>muni&amp; " - "&amp;S71Sd&amp; " - "&amp;Head57</f>
        <v>KZN282 uMhlathuze - Supporting Table SC13d Monthly Budget Statement - depreciation by asset class - M10 April</v>
      </c>
      <c r="B1" s="851"/>
      <c r="C1" s="851"/>
      <c r="D1" s="851"/>
      <c r="E1" s="851"/>
      <c r="F1" s="851"/>
      <c r="G1" s="851"/>
      <c r="H1" s="851"/>
      <c r="I1" s="851"/>
      <c r="J1" s="851"/>
      <c r="K1" s="851"/>
    </row>
    <row r="2" spans="1:11" x14ac:dyDescent="0.25">
      <c r="A2" s="837" t="str">
        <f>desc</f>
        <v>Description</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47"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519" t="s">
        <v>615</v>
      </c>
      <c r="B4" s="141">
        <v>1</v>
      </c>
      <c r="C4" s="520"/>
      <c r="D4" s="549"/>
      <c r="E4" s="522"/>
      <c r="F4" s="523"/>
      <c r="G4" s="523"/>
      <c r="H4" s="523"/>
      <c r="I4" s="523"/>
      <c r="J4" s="524" t="s">
        <v>528</v>
      </c>
      <c r="K4" s="525"/>
    </row>
    <row r="5" spans="1:11" ht="12.75" customHeight="1" x14ac:dyDescent="0.25">
      <c r="A5" s="92" t="s">
        <v>981</v>
      </c>
      <c r="B5" s="90"/>
      <c r="C5" s="74"/>
      <c r="D5" s="148"/>
      <c r="E5" s="34"/>
      <c r="F5" s="34"/>
      <c r="G5" s="34"/>
      <c r="H5" s="34"/>
      <c r="I5" s="34"/>
      <c r="J5" s="189"/>
      <c r="K5" s="78"/>
    </row>
    <row r="6" spans="1:11" ht="5.0999999999999996" customHeight="1" x14ac:dyDescent="0.25">
      <c r="A6" s="29"/>
      <c r="B6" s="90"/>
      <c r="C6" s="74"/>
      <c r="D6" s="148"/>
      <c r="E6" s="34"/>
      <c r="F6" s="34"/>
      <c r="G6" s="34"/>
      <c r="H6" s="34"/>
      <c r="I6" s="34"/>
      <c r="J6" s="189"/>
      <c r="K6" s="78"/>
    </row>
    <row r="7" spans="1:11" ht="12.75" customHeight="1" x14ac:dyDescent="0.25">
      <c r="A7" s="29" t="s">
        <v>592</v>
      </c>
      <c r="B7" s="90"/>
      <c r="C7" s="220">
        <f t="shared" ref="C7:H7" si="0">C8+C13+C17+C27+C38+C45+C53+C63+C69</f>
        <v>205395080.84999996</v>
      </c>
      <c r="D7" s="297">
        <f t="shared" si="0"/>
        <v>178618700</v>
      </c>
      <c r="E7" s="221">
        <f t="shared" si="0"/>
        <v>217132557.13999996</v>
      </c>
      <c r="F7" s="221">
        <f t="shared" si="0"/>
        <v>17732466.399999995</v>
      </c>
      <c r="G7" s="221">
        <f t="shared" si="0"/>
        <v>179903290.84999999</v>
      </c>
      <c r="H7" s="221">
        <f t="shared" si="0"/>
        <v>180463961.5</v>
      </c>
      <c r="I7" s="65">
        <f t="shared" ref="I7:I76" si="1">H7-G7</f>
        <v>560670.65000000596</v>
      </c>
      <c r="J7" s="545">
        <f t="shared" ref="J7:J70" si="2">IF(I7=0,"",I7/H7)</f>
        <v>3.1068288944771168E-3</v>
      </c>
      <c r="K7" s="222">
        <f>K8+K13+K17+K27+K38+K45+K53+K63+K69</f>
        <v>217132557.13999996</v>
      </c>
    </row>
    <row r="8" spans="1:11" ht="12.75" customHeight="1" x14ac:dyDescent="0.25">
      <c r="A8" s="30" t="s">
        <v>1119</v>
      </c>
      <c r="B8" s="89"/>
      <c r="C8" s="35">
        <f t="shared" ref="C8:H8" si="3">SUM(C9:C12)</f>
        <v>57330338.530000001</v>
      </c>
      <c r="D8" s="36">
        <f t="shared" si="3"/>
        <v>41605400</v>
      </c>
      <c r="E8" s="34">
        <f t="shared" si="3"/>
        <v>52471962.149999999</v>
      </c>
      <c r="F8" s="68">
        <f t="shared" si="3"/>
        <v>4301188.9399999995</v>
      </c>
      <c r="G8" s="34">
        <f t="shared" si="3"/>
        <v>43585424.959999993</v>
      </c>
      <c r="H8" s="33">
        <f t="shared" si="3"/>
        <v>43639597.539999999</v>
      </c>
      <c r="I8" s="34">
        <f t="shared" si="1"/>
        <v>54172.580000005662</v>
      </c>
      <c r="J8" s="189">
        <f t="shared" si="2"/>
        <v>1.2413629605623915E-3</v>
      </c>
      <c r="K8" s="78">
        <f>SUM(K9:K12)</f>
        <v>52471962.149999999</v>
      </c>
    </row>
    <row r="9" spans="1:11" ht="12.75" customHeight="1" x14ac:dyDescent="0.25">
      <c r="A9" s="606" t="s">
        <v>150</v>
      </c>
      <c r="B9" s="90"/>
      <c r="C9" s="744">
        <f>SC13DQ!B6</f>
        <v>50406792.740000002</v>
      </c>
      <c r="D9" s="744">
        <f>SC13DQ!C6</f>
        <v>35567300</v>
      </c>
      <c r="E9" s="331">
        <f>SC13DQ!D6</f>
        <v>45369313.259999998</v>
      </c>
      <c r="F9" s="704">
        <f>SC13DQ!E6</f>
        <v>3717565.57</v>
      </c>
      <c r="G9" s="331">
        <f>SC13DQ!F6</f>
        <v>37671333.619999997</v>
      </c>
      <c r="H9" s="704">
        <f>SC13DQ!G6</f>
        <v>37724824.390000001</v>
      </c>
      <c r="I9" s="34">
        <f t="shared" si="1"/>
        <v>53490.770000003278</v>
      </c>
      <c r="J9" s="189">
        <f t="shared" si="2"/>
        <v>1.4179196554240945E-3</v>
      </c>
      <c r="K9" s="367">
        <f>SC13DQ!J6</f>
        <v>45369313.259999998</v>
      </c>
    </row>
    <row r="10" spans="1:11" ht="12.75" customHeight="1" x14ac:dyDescent="0.25">
      <c r="A10" s="606" t="s">
        <v>1120</v>
      </c>
      <c r="B10" s="90"/>
      <c r="C10" s="744">
        <f>SC13DQ!B7</f>
        <v>3578717.48</v>
      </c>
      <c r="D10" s="744">
        <f>SC13DQ!C7</f>
        <v>3620600</v>
      </c>
      <c r="E10" s="331">
        <f>SC13DQ!D7</f>
        <v>3605605.57</v>
      </c>
      <c r="F10" s="704">
        <f>SC13DQ!E7</f>
        <v>296202.19</v>
      </c>
      <c r="G10" s="331">
        <f>SC13DQ!F7</f>
        <v>3001510.33</v>
      </c>
      <c r="H10" s="704">
        <f>SC13DQ!G7</f>
        <v>3002192.14</v>
      </c>
      <c r="I10" s="34">
        <f t="shared" si="1"/>
        <v>681.81000000005588</v>
      </c>
      <c r="J10" s="189">
        <f t="shared" si="2"/>
        <v>2.2710405204113814E-4</v>
      </c>
      <c r="K10" s="367">
        <f>SC13DQ!J7</f>
        <v>3605605.57</v>
      </c>
    </row>
    <row r="11" spans="1:11" ht="12.75" customHeight="1" x14ac:dyDescent="0.25">
      <c r="A11" s="606" t="s">
        <v>1121</v>
      </c>
      <c r="B11" s="90"/>
      <c r="C11" s="744">
        <f>SC13DQ!B8</f>
        <v>3344828.31</v>
      </c>
      <c r="D11" s="744">
        <f>SC13DQ!C8</f>
        <v>2417500</v>
      </c>
      <c r="E11" s="331">
        <f>SC13DQ!D8</f>
        <v>3497043.32</v>
      </c>
      <c r="F11" s="704">
        <f>SC13DQ!E8</f>
        <v>287421.18</v>
      </c>
      <c r="G11" s="331">
        <f>SC13DQ!F8</f>
        <v>2912581.01</v>
      </c>
      <c r="H11" s="704">
        <f>SC13DQ!G8</f>
        <v>2912581.01</v>
      </c>
      <c r="I11" s="34">
        <f t="shared" si="1"/>
        <v>0</v>
      </c>
      <c r="J11" s="189" t="str">
        <f t="shared" si="2"/>
        <v/>
      </c>
      <c r="K11" s="367">
        <f>SC13DQ!J8</f>
        <v>3497043.32</v>
      </c>
    </row>
    <row r="12" spans="1:11" ht="12.75" customHeight="1" x14ac:dyDescent="0.25">
      <c r="A12" s="606" t="s">
        <v>1122</v>
      </c>
      <c r="B12" s="90"/>
      <c r="C12" s="744">
        <f>SC13DQ!B9</f>
        <v>0</v>
      </c>
      <c r="D12" s="744">
        <f>SC13DQ!C9</f>
        <v>0</v>
      </c>
      <c r="E12" s="331">
        <f>SC13DQ!D9</f>
        <v>0</v>
      </c>
      <c r="F12" s="704">
        <f>SC13DQ!E9</f>
        <v>0</v>
      </c>
      <c r="G12" s="331">
        <f>SC13DQ!F9</f>
        <v>0</v>
      </c>
      <c r="H12" s="704">
        <f>SC13DQ!G9</f>
        <v>0</v>
      </c>
      <c r="I12" s="34">
        <f t="shared" si="1"/>
        <v>0</v>
      </c>
      <c r="J12" s="189" t="str">
        <f t="shared" si="2"/>
        <v/>
      </c>
      <c r="K12" s="367">
        <f>SC13DQ!J9</f>
        <v>0</v>
      </c>
    </row>
    <row r="13" spans="1:11" ht="12.75" customHeight="1" x14ac:dyDescent="0.25">
      <c r="A13" s="30" t="s">
        <v>1123</v>
      </c>
      <c r="B13" s="90"/>
      <c r="C13" s="74">
        <f t="shared" ref="C13:H13" si="4">SUM(C14:C16)</f>
        <v>18133767.949999999</v>
      </c>
      <c r="D13" s="489">
        <f t="shared" si="4"/>
        <v>18102300</v>
      </c>
      <c r="E13" s="34">
        <f t="shared" si="4"/>
        <v>18452488.859999999</v>
      </c>
      <c r="F13" s="33">
        <f t="shared" si="4"/>
        <v>1509856.26</v>
      </c>
      <c r="G13" s="34">
        <f t="shared" si="4"/>
        <v>15299675.17</v>
      </c>
      <c r="H13" s="33">
        <f t="shared" si="4"/>
        <v>15331543.42</v>
      </c>
      <c r="I13" s="34">
        <f t="shared" si="1"/>
        <v>31868.25</v>
      </c>
      <c r="J13" s="189">
        <f t="shared" si="2"/>
        <v>2.0786067734333822E-3</v>
      </c>
      <c r="K13" s="35">
        <f>SUM(K14:K16)</f>
        <v>18452488.859999999</v>
      </c>
    </row>
    <row r="14" spans="1:11" ht="12.75" customHeight="1" x14ac:dyDescent="0.25">
      <c r="A14" s="606" t="s">
        <v>1124</v>
      </c>
      <c r="B14" s="90"/>
      <c r="C14" s="744">
        <f>SC13DQ!B11</f>
        <v>3670995.88</v>
      </c>
      <c r="D14" s="744">
        <f>SC13DQ!C11</f>
        <v>3430900</v>
      </c>
      <c r="E14" s="331">
        <f>SC13DQ!D11</f>
        <v>3804556.49</v>
      </c>
      <c r="F14" s="704">
        <f>SC13DQ!E11</f>
        <v>312724.77</v>
      </c>
      <c r="G14" s="331">
        <f>SC13DQ!F11</f>
        <v>3168740.71</v>
      </c>
      <c r="H14" s="704">
        <f>SC13DQ!G11</f>
        <v>3168740.71</v>
      </c>
      <c r="I14" s="34">
        <f t="shared" si="1"/>
        <v>0</v>
      </c>
      <c r="J14" s="189" t="str">
        <f t="shared" si="2"/>
        <v/>
      </c>
      <c r="K14" s="367">
        <f>SC13DQ!J11</f>
        <v>3804556.49</v>
      </c>
    </row>
    <row r="15" spans="1:11" ht="12.75" customHeight="1" x14ac:dyDescent="0.25">
      <c r="A15" s="606" t="s">
        <v>1125</v>
      </c>
      <c r="B15" s="90"/>
      <c r="C15" s="744">
        <f>SC13DQ!B12</f>
        <v>14458993.289999999</v>
      </c>
      <c r="D15" s="744">
        <f>SC13DQ!C12</f>
        <v>14667600</v>
      </c>
      <c r="E15" s="331">
        <f>SC13DQ!D12</f>
        <v>14644153.59</v>
      </c>
      <c r="F15" s="704">
        <f>SC13DQ!E12</f>
        <v>1196820.8999999999</v>
      </c>
      <c r="G15" s="331">
        <f>SC13DQ!F12</f>
        <v>12127787.199999999</v>
      </c>
      <c r="H15" s="704">
        <f>SC13DQ!G12</f>
        <v>12159655.449999999</v>
      </c>
      <c r="I15" s="34">
        <f t="shared" si="1"/>
        <v>31868.25</v>
      </c>
      <c r="J15" s="189">
        <f t="shared" si="2"/>
        <v>2.6208185035374505E-3</v>
      </c>
      <c r="K15" s="367">
        <f>SC13DQ!J12</f>
        <v>14644153.59</v>
      </c>
    </row>
    <row r="16" spans="1:11" ht="12.75" customHeight="1" x14ac:dyDescent="0.25">
      <c r="A16" s="606" t="s">
        <v>1126</v>
      </c>
      <c r="B16" s="90"/>
      <c r="C16" s="744">
        <f>SC13DQ!B13</f>
        <v>3778.78</v>
      </c>
      <c r="D16" s="744">
        <f>SC13DQ!C13</f>
        <v>3800</v>
      </c>
      <c r="E16" s="331">
        <f>SC13DQ!D13</f>
        <v>3778.78</v>
      </c>
      <c r="F16" s="704">
        <f>SC13DQ!E13</f>
        <v>310.58999999999997</v>
      </c>
      <c r="G16" s="331">
        <f>SC13DQ!F13</f>
        <v>3147.26</v>
      </c>
      <c r="H16" s="704">
        <f>SC13DQ!G13</f>
        <v>3147.26</v>
      </c>
      <c r="I16" s="34">
        <f t="shared" si="1"/>
        <v>0</v>
      </c>
      <c r="J16" s="189" t="str">
        <f t="shared" si="2"/>
        <v/>
      </c>
      <c r="K16" s="367">
        <f>SC13DQ!J13</f>
        <v>3778.78</v>
      </c>
    </row>
    <row r="17" spans="1:11" ht="12.75" customHeight="1" x14ac:dyDescent="0.25">
      <c r="A17" s="30" t="s">
        <v>1127</v>
      </c>
      <c r="B17" s="90"/>
      <c r="C17" s="74">
        <f t="shared" ref="C17:H17" si="5">SUM(C18:C26)</f>
        <v>26168952.239999998</v>
      </c>
      <c r="D17" s="489">
        <f t="shared" si="5"/>
        <v>23390000</v>
      </c>
      <c r="E17" s="34">
        <f t="shared" si="5"/>
        <v>28404429.449999999</v>
      </c>
      <c r="F17" s="33">
        <f t="shared" si="5"/>
        <v>2316846.69</v>
      </c>
      <c r="G17" s="34">
        <f t="shared" si="5"/>
        <v>23476519.599999998</v>
      </c>
      <c r="H17" s="33">
        <f t="shared" si="5"/>
        <v>23569785.390000001</v>
      </c>
      <c r="I17" s="34">
        <f t="shared" si="1"/>
        <v>93265.790000002831</v>
      </c>
      <c r="J17" s="189">
        <f t="shared" si="2"/>
        <v>3.9570063306377367E-3</v>
      </c>
      <c r="K17" s="35">
        <f>SUM(K18:K26)</f>
        <v>28404429.449999999</v>
      </c>
    </row>
    <row r="18" spans="1:11" ht="12.75" customHeight="1" x14ac:dyDescent="0.25">
      <c r="A18" s="606" t="s">
        <v>1128</v>
      </c>
      <c r="B18" s="90"/>
      <c r="C18" s="744">
        <f>SC13DQ!B15</f>
        <v>0</v>
      </c>
      <c r="D18" s="744">
        <f>SC13DQ!C15</f>
        <v>0</v>
      </c>
      <c r="E18" s="331">
        <f>SC13DQ!D15</f>
        <v>0</v>
      </c>
      <c r="F18" s="704">
        <f>SC13DQ!E15</f>
        <v>0</v>
      </c>
      <c r="G18" s="331">
        <f>SC13DQ!F15</f>
        <v>0</v>
      </c>
      <c r="H18" s="704">
        <f>SC13DQ!G15</f>
        <v>0</v>
      </c>
      <c r="I18" s="34">
        <f t="shared" si="1"/>
        <v>0</v>
      </c>
      <c r="J18" s="189" t="str">
        <f t="shared" si="2"/>
        <v/>
      </c>
      <c r="K18" s="367">
        <f>SC13DQ!J15</f>
        <v>0</v>
      </c>
    </row>
    <row r="19" spans="1:11" ht="12.75" customHeight="1" x14ac:dyDescent="0.25">
      <c r="A19" s="606" t="s">
        <v>1129</v>
      </c>
      <c r="B19" s="90"/>
      <c r="C19" s="744">
        <f>SC13DQ!B16</f>
        <v>9628616.9499999993</v>
      </c>
      <c r="D19" s="744">
        <f>SC13DQ!C16</f>
        <v>9135000</v>
      </c>
      <c r="E19" s="331">
        <f>SC13DQ!D16</f>
        <v>10531785.689999999</v>
      </c>
      <c r="F19" s="704">
        <f>SC13DQ!E16</f>
        <v>865625.99</v>
      </c>
      <c r="G19" s="331">
        <f>SC13DQ!F16</f>
        <v>8771678.9100000001</v>
      </c>
      <c r="H19" s="704">
        <f>SC13DQ!G16</f>
        <v>8771678.9100000001</v>
      </c>
      <c r="I19" s="34">
        <f t="shared" si="1"/>
        <v>0</v>
      </c>
      <c r="J19" s="189" t="str">
        <f t="shared" si="2"/>
        <v/>
      </c>
      <c r="K19" s="367">
        <f>SC13DQ!J16</f>
        <v>10531785.689999999</v>
      </c>
    </row>
    <row r="20" spans="1:11" ht="12.75" customHeight="1" x14ac:dyDescent="0.25">
      <c r="A20" s="606" t="s">
        <v>1130</v>
      </c>
      <c r="B20" s="90"/>
      <c r="C20" s="744">
        <f>SC13DQ!B17</f>
        <v>1221142.99</v>
      </c>
      <c r="D20" s="744">
        <f>SC13DQ!C17</f>
        <v>0</v>
      </c>
      <c r="E20" s="331">
        <f>SC13DQ!D17</f>
        <v>0</v>
      </c>
      <c r="F20" s="704">
        <f>SC13DQ!E17</f>
        <v>0</v>
      </c>
      <c r="G20" s="331">
        <f>SC13DQ!F17</f>
        <v>0</v>
      </c>
      <c r="H20" s="704">
        <f>SC13DQ!G17</f>
        <v>0</v>
      </c>
      <c r="I20" s="34">
        <f t="shared" si="1"/>
        <v>0</v>
      </c>
      <c r="J20" s="189" t="str">
        <f t="shared" si="2"/>
        <v/>
      </c>
      <c r="K20" s="367">
        <f>SC13DQ!J17</f>
        <v>0</v>
      </c>
    </row>
    <row r="21" spans="1:11" ht="12.75" customHeight="1" x14ac:dyDescent="0.25">
      <c r="A21" s="606" t="s">
        <v>1131</v>
      </c>
      <c r="B21" s="90"/>
      <c r="C21" s="744">
        <f>SC13DQ!B18</f>
        <v>1259012.6299999999</v>
      </c>
      <c r="D21" s="744">
        <f>SC13DQ!C18</f>
        <v>1264000</v>
      </c>
      <c r="E21" s="331">
        <f>SC13DQ!D18</f>
        <v>2901087.52</v>
      </c>
      <c r="F21" s="704">
        <f>SC13DQ!E18</f>
        <v>232952.56</v>
      </c>
      <c r="G21" s="331">
        <f>SC13DQ!F18</f>
        <v>2360586.29</v>
      </c>
      <c r="H21" s="704">
        <f>SC13DQ!G18</f>
        <v>2392305.7000000002</v>
      </c>
      <c r="I21" s="34">
        <f t="shared" si="1"/>
        <v>31719.410000000149</v>
      </c>
      <c r="J21" s="189">
        <f t="shared" si="2"/>
        <v>1.3258928405345581E-2</v>
      </c>
      <c r="K21" s="367">
        <f>SC13DQ!J18</f>
        <v>2901087.52</v>
      </c>
    </row>
    <row r="22" spans="1:11" ht="12.75" customHeight="1" x14ac:dyDescent="0.25">
      <c r="A22" s="606" t="s">
        <v>1132</v>
      </c>
      <c r="B22" s="90"/>
      <c r="C22" s="744">
        <f>SC13DQ!B19</f>
        <v>1735818.58</v>
      </c>
      <c r="D22" s="744">
        <f>SC13DQ!C19</f>
        <v>1588200</v>
      </c>
      <c r="E22" s="331">
        <f>SC13DQ!D19</f>
        <v>1582193.45</v>
      </c>
      <c r="F22" s="704">
        <f>SC13DQ!E19</f>
        <v>130042.27</v>
      </c>
      <c r="G22" s="331">
        <f>SC13DQ!F19</f>
        <v>1317771.45</v>
      </c>
      <c r="H22" s="704">
        <f>SC13DQ!G19</f>
        <v>1317771.45</v>
      </c>
      <c r="I22" s="34">
        <f t="shared" si="1"/>
        <v>0</v>
      </c>
      <c r="J22" s="189" t="str">
        <f t="shared" si="2"/>
        <v/>
      </c>
      <c r="K22" s="367">
        <f>SC13DQ!J19</f>
        <v>1582193.45</v>
      </c>
    </row>
    <row r="23" spans="1:11" ht="12.75" customHeight="1" x14ac:dyDescent="0.25">
      <c r="A23" s="606" t="s">
        <v>1133</v>
      </c>
      <c r="B23" s="90"/>
      <c r="C23" s="744">
        <f>SC13DQ!B20</f>
        <v>0</v>
      </c>
      <c r="D23" s="744">
        <f>SC13DQ!C20</f>
        <v>0</v>
      </c>
      <c r="E23" s="331">
        <f>SC13DQ!D20</f>
        <v>0</v>
      </c>
      <c r="F23" s="704">
        <f>SC13DQ!E20</f>
        <v>0</v>
      </c>
      <c r="G23" s="331">
        <f>SC13DQ!F20</f>
        <v>0</v>
      </c>
      <c r="H23" s="704">
        <f>SC13DQ!G20</f>
        <v>0</v>
      </c>
      <c r="I23" s="34">
        <f t="shared" si="1"/>
        <v>0</v>
      </c>
      <c r="J23" s="189" t="str">
        <f t="shared" si="2"/>
        <v/>
      </c>
      <c r="K23" s="367">
        <f>SC13DQ!J20</f>
        <v>0</v>
      </c>
    </row>
    <row r="24" spans="1:11" ht="12.75" customHeight="1" x14ac:dyDescent="0.25">
      <c r="A24" s="606" t="s">
        <v>1134</v>
      </c>
      <c r="B24" s="90"/>
      <c r="C24" s="744">
        <f>SC13DQ!B21</f>
        <v>8988366.6799999997</v>
      </c>
      <c r="D24" s="744">
        <f>SC13DQ!C21</f>
        <v>8240300</v>
      </c>
      <c r="E24" s="331">
        <f>SC13DQ!D21</f>
        <v>9770677.5800000001</v>
      </c>
      <c r="F24" s="704">
        <f>SC13DQ!E21</f>
        <v>791677.19</v>
      </c>
      <c r="G24" s="331">
        <f>SC13DQ!F21</f>
        <v>8022326.9500000002</v>
      </c>
      <c r="H24" s="704">
        <f>SC13DQ!G21</f>
        <v>8080837.4000000004</v>
      </c>
      <c r="I24" s="34">
        <f t="shared" ref="I24:I73" si="6">H24-G24</f>
        <v>58510.450000000186</v>
      </c>
      <c r="J24" s="189">
        <f t="shared" si="2"/>
        <v>7.2406419166409887E-3</v>
      </c>
      <c r="K24" s="367">
        <f>SC13DQ!J21</f>
        <v>9770677.5800000001</v>
      </c>
    </row>
    <row r="25" spans="1:11" ht="12.75" customHeight="1" x14ac:dyDescent="0.25">
      <c r="A25" s="606" t="s">
        <v>1135</v>
      </c>
      <c r="B25" s="90"/>
      <c r="C25" s="744">
        <f>SC13DQ!B22</f>
        <v>3335994.41</v>
      </c>
      <c r="D25" s="744">
        <f>SC13DQ!C22</f>
        <v>3162500</v>
      </c>
      <c r="E25" s="331">
        <f>SC13DQ!D22</f>
        <v>3618685.21</v>
      </c>
      <c r="F25" s="704">
        <f>SC13DQ!E22</f>
        <v>296548.68</v>
      </c>
      <c r="G25" s="331">
        <f>SC13DQ!F22</f>
        <v>3004156</v>
      </c>
      <c r="H25" s="704">
        <f>SC13DQ!G22</f>
        <v>3007191.93</v>
      </c>
      <c r="I25" s="34">
        <f t="shared" si="6"/>
        <v>3035.9300000001676</v>
      </c>
      <c r="J25" s="189">
        <f t="shared" si="2"/>
        <v>1.0095564469010023E-3</v>
      </c>
      <c r="K25" s="367">
        <f>SC13DQ!J22</f>
        <v>3618685.21</v>
      </c>
    </row>
    <row r="26" spans="1:11" ht="12.75" customHeight="1" x14ac:dyDescent="0.25">
      <c r="A26" s="606" t="s">
        <v>1122</v>
      </c>
      <c r="B26" s="90"/>
      <c r="C26" s="744">
        <f>SC13DQ!B23</f>
        <v>0</v>
      </c>
      <c r="D26" s="744">
        <f>SC13DQ!C23</f>
        <v>0</v>
      </c>
      <c r="E26" s="331">
        <f>SC13DQ!D23</f>
        <v>0</v>
      </c>
      <c r="F26" s="704">
        <f>SC13DQ!E23</f>
        <v>0</v>
      </c>
      <c r="G26" s="331">
        <f>SC13DQ!F23</f>
        <v>0</v>
      </c>
      <c r="H26" s="704">
        <f>SC13DQ!G23</f>
        <v>0</v>
      </c>
      <c r="I26" s="34">
        <f t="shared" si="6"/>
        <v>0</v>
      </c>
      <c r="J26" s="189" t="str">
        <f t="shared" si="2"/>
        <v/>
      </c>
      <c r="K26" s="367">
        <f>SC13DQ!J23</f>
        <v>0</v>
      </c>
    </row>
    <row r="27" spans="1:11" ht="12.75" customHeight="1" x14ac:dyDescent="0.25">
      <c r="A27" s="30" t="s">
        <v>1136</v>
      </c>
      <c r="B27" s="90"/>
      <c r="C27" s="74">
        <f t="shared" ref="C27:H27" si="7">SUM(C28:C37)</f>
        <v>61076511.479999997</v>
      </c>
      <c r="D27" s="489">
        <f t="shared" si="7"/>
        <v>56327600</v>
      </c>
      <c r="E27" s="34">
        <f t="shared" si="7"/>
        <v>70776566.480000004</v>
      </c>
      <c r="F27" s="33">
        <f t="shared" si="7"/>
        <v>5749919.1600000001</v>
      </c>
      <c r="G27" s="34">
        <f t="shared" si="7"/>
        <v>58266286.099999994</v>
      </c>
      <c r="H27" s="33">
        <f t="shared" si="7"/>
        <v>58598960.32</v>
      </c>
      <c r="I27" s="34">
        <f t="shared" si="6"/>
        <v>332674.22000000626</v>
      </c>
      <c r="J27" s="189">
        <f t="shared" si="2"/>
        <v>5.6771351946062355E-3</v>
      </c>
      <c r="K27" s="35">
        <f>SUM(K28:K37)</f>
        <v>70776566.480000004</v>
      </c>
    </row>
    <row r="28" spans="1:11" ht="12.75" customHeight="1" x14ac:dyDescent="0.25">
      <c r="A28" s="606" t="s">
        <v>1137</v>
      </c>
      <c r="B28" s="90"/>
      <c r="C28" s="744">
        <f>SC13DQ!B25</f>
        <v>0</v>
      </c>
      <c r="D28" s="744">
        <f>SC13DQ!C25</f>
        <v>0</v>
      </c>
      <c r="E28" s="331">
        <f>SC13DQ!D25</f>
        <v>0</v>
      </c>
      <c r="F28" s="704">
        <f>SC13DQ!E25</f>
        <v>0</v>
      </c>
      <c r="G28" s="331">
        <f>SC13DQ!F25</f>
        <v>0</v>
      </c>
      <c r="H28" s="704">
        <f>SC13DQ!G25</f>
        <v>0</v>
      </c>
      <c r="I28" s="34">
        <f t="shared" si="6"/>
        <v>0</v>
      </c>
      <c r="J28" s="189" t="str">
        <f t="shared" si="2"/>
        <v/>
      </c>
      <c r="K28" s="367">
        <f>SC13DQ!J25</f>
        <v>0</v>
      </c>
    </row>
    <row r="29" spans="1:11" ht="12.75" customHeight="1" x14ac:dyDescent="0.25">
      <c r="A29" s="606" t="s">
        <v>1138</v>
      </c>
      <c r="B29" s="90"/>
      <c r="C29" s="744">
        <f>SC13DQ!B26</f>
        <v>43307.3</v>
      </c>
      <c r="D29" s="744">
        <f>SC13DQ!C26</f>
        <v>63500</v>
      </c>
      <c r="E29" s="331">
        <f>SC13DQ!D26</f>
        <v>43307.28</v>
      </c>
      <c r="F29" s="704">
        <f>SC13DQ!E26</f>
        <v>3559.46</v>
      </c>
      <c r="G29" s="331">
        <f>SC13DQ!F26</f>
        <v>36069.599999999999</v>
      </c>
      <c r="H29" s="704">
        <f>SC13DQ!G26</f>
        <v>36069.599999999999</v>
      </c>
      <c r="I29" s="34">
        <f t="shared" si="6"/>
        <v>0</v>
      </c>
      <c r="J29" s="189" t="str">
        <f t="shared" si="2"/>
        <v/>
      </c>
      <c r="K29" s="367">
        <f>SC13DQ!J26</f>
        <v>43307.28</v>
      </c>
    </row>
    <row r="30" spans="1:11" ht="12.75" customHeight="1" x14ac:dyDescent="0.25">
      <c r="A30" s="606" t="s">
        <v>1139</v>
      </c>
      <c r="B30" s="90"/>
      <c r="C30" s="744">
        <f>SC13DQ!B27</f>
        <v>7063474.8300000001</v>
      </c>
      <c r="D30" s="744">
        <f>SC13DQ!C27</f>
        <v>6260700</v>
      </c>
      <c r="E30" s="331">
        <f>SC13DQ!D27</f>
        <v>7400483.29</v>
      </c>
      <c r="F30" s="704">
        <f>SC13DQ!E27</f>
        <v>608259.14</v>
      </c>
      <c r="G30" s="331">
        <f>SC13DQ!F27</f>
        <v>6163690.4500000002</v>
      </c>
      <c r="H30" s="704">
        <f>SC13DQ!G27</f>
        <v>6163690.4500000002</v>
      </c>
      <c r="I30" s="34">
        <f t="shared" si="6"/>
        <v>0</v>
      </c>
      <c r="J30" s="189" t="str">
        <f t="shared" si="2"/>
        <v/>
      </c>
      <c r="K30" s="367">
        <f>SC13DQ!J27</f>
        <v>7400483.29</v>
      </c>
    </row>
    <row r="31" spans="1:11" ht="12.75" customHeight="1" x14ac:dyDescent="0.25">
      <c r="A31" s="606" t="s">
        <v>1140</v>
      </c>
      <c r="B31" s="90"/>
      <c r="C31" s="744">
        <f>SC13DQ!B28</f>
        <v>468975.48</v>
      </c>
      <c r="D31" s="744">
        <f>SC13DQ!C28</f>
        <v>382500</v>
      </c>
      <c r="E31" s="331">
        <f>SC13DQ!D28</f>
        <v>810604.54</v>
      </c>
      <c r="F31" s="704">
        <f>SC13DQ!E28</f>
        <v>56328.25</v>
      </c>
      <c r="G31" s="331">
        <f>SC13DQ!F28</f>
        <v>570793.73</v>
      </c>
      <c r="H31" s="704">
        <f>SC13DQ!G28</f>
        <v>621238.30000000005</v>
      </c>
      <c r="I31" s="34">
        <f t="shared" si="6"/>
        <v>50444.570000000065</v>
      </c>
      <c r="J31" s="189">
        <f t="shared" si="2"/>
        <v>8.1200032258152893E-2</v>
      </c>
      <c r="K31" s="367">
        <f>SC13DQ!J28</f>
        <v>810604.54</v>
      </c>
    </row>
    <row r="32" spans="1:11" ht="12.75" customHeight="1" x14ac:dyDescent="0.25">
      <c r="A32" s="606" t="s">
        <v>1141</v>
      </c>
      <c r="B32" s="90"/>
      <c r="C32" s="744">
        <f>SC13DQ!B29</f>
        <v>8873082.3100000005</v>
      </c>
      <c r="D32" s="744">
        <f>SC13DQ!C29</f>
        <v>5834400</v>
      </c>
      <c r="E32" s="331">
        <f>SC13DQ!D29</f>
        <v>10884569.800000001</v>
      </c>
      <c r="F32" s="704">
        <f>SC13DQ!E29</f>
        <v>894622.2</v>
      </c>
      <c r="G32" s="331">
        <f>SC13DQ!F29</f>
        <v>9065504.3499999996</v>
      </c>
      <c r="H32" s="704">
        <f>SC13DQ!G29</f>
        <v>9065504.3499999996</v>
      </c>
      <c r="I32" s="34">
        <f t="shared" si="6"/>
        <v>0</v>
      </c>
      <c r="J32" s="189" t="str">
        <f t="shared" si="2"/>
        <v/>
      </c>
      <c r="K32" s="367">
        <f>SC13DQ!J29</f>
        <v>10884569.800000001</v>
      </c>
    </row>
    <row r="33" spans="1:11" ht="12.75" customHeight="1" x14ac:dyDescent="0.25">
      <c r="A33" s="606" t="s">
        <v>1142</v>
      </c>
      <c r="B33" s="90"/>
      <c r="C33" s="744">
        <f>SC13DQ!B30</f>
        <v>26460983.949999999</v>
      </c>
      <c r="D33" s="744">
        <f>SC13DQ!C30</f>
        <v>26316500</v>
      </c>
      <c r="E33" s="331">
        <f>SC13DQ!D30</f>
        <v>26691493.449999999</v>
      </c>
      <c r="F33" s="704">
        <f>SC13DQ!E30</f>
        <v>2190287.36</v>
      </c>
      <c r="G33" s="331">
        <f>SC13DQ!F30</f>
        <v>22194902.640000001</v>
      </c>
      <c r="H33" s="704">
        <f>SC13DQ!G30</f>
        <v>22211429.969999999</v>
      </c>
      <c r="I33" s="34">
        <f t="shared" si="6"/>
        <v>16527.329999998212</v>
      </c>
      <c r="J33" s="189">
        <f t="shared" si="2"/>
        <v>7.4409121890490386E-4</v>
      </c>
      <c r="K33" s="367">
        <f>SC13DQ!J30</f>
        <v>26691493.449999999</v>
      </c>
    </row>
    <row r="34" spans="1:11" ht="12.75" customHeight="1" x14ac:dyDescent="0.25">
      <c r="A34" s="606" t="s">
        <v>1143</v>
      </c>
      <c r="B34" s="90"/>
      <c r="C34" s="744">
        <f>SC13DQ!B31</f>
        <v>18166687.609999999</v>
      </c>
      <c r="D34" s="744">
        <f>SC13DQ!C31</f>
        <v>17470000</v>
      </c>
      <c r="E34" s="331">
        <f>SC13DQ!D31</f>
        <v>24946108.120000001</v>
      </c>
      <c r="F34" s="704">
        <f>SC13DQ!E31</f>
        <v>1996862.75</v>
      </c>
      <c r="G34" s="331">
        <f>SC13DQ!F31</f>
        <v>20235325.329999998</v>
      </c>
      <c r="H34" s="704">
        <f>SC13DQ!G31</f>
        <v>20501027.649999999</v>
      </c>
      <c r="I34" s="34">
        <f t="shared" si="6"/>
        <v>265702.3200000003</v>
      </c>
      <c r="J34" s="189">
        <f t="shared" si="2"/>
        <v>1.296043908315983E-2</v>
      </c>
      <c r="K34" s="367">
        <f>SC13DQ!J31</f>
        <v>24946108.120000001</v>
      </c>
    </row>
    <row r="35" spans="1:11" ht="12.75" customHeight="1" x14ac:dyDescent="0.25">
      <c r="A35" s="606" t="s">
        <v>1144</v>
      </c>
      <c r="B35" s="90"/>
      <c r="C35" s="744">
        <f>SC13DQ!B32</f>
        <v>0</v>
      </c>
      <c r="D35" s="744">
        <f>SC13DQ!C32</f>
        <v>0</v>
      </c>
      <c r="E35" s="331">
        <f>SC13DQ!D32</f>
        <v>0</v>
      </c>
      <c r="F35" s="704">
        <f>SC13DQ!E32</f>
        <v>0</v>
      </c>
      <c r="G35" s="331">
        <f>SC13DQ!F32</f>
        <v>0</v>
      </c>
      <c r="H35" s="704">
        <f>SC13DQ!G32</f>
        <v>0</v>
      </c>
      <c r="I35" s="34">
        <f t="shared" si="6"/>
        <v>0</v>
      </c>
      <c r="J35" s="189" t="str">
        <f t="shared" si="2"/>
        <v/>
      </c>
      <c r="K35" s="367">
        <f>SC13DQ!J32</f>
        <v>0</v>
      </c>
    </row>
    <row r="36" spans="1:11" ht="12.75" customHeight="1" x14ac:dyDescent="0.25">
      <c r="A36" s="606" t="s">
        <v>1145</v>
      </c>
      <c r="B36" s="90"/>
      <c r="C36" s="744">
        <f>SC13DQ!B33</f>
        <v>0</v>
      </c>
      <c r="D36" s="744">
        <f>SC13DQ!C33</f>
        <v>0</v>
      </c>
      <c r="E36" s="331">
        <f>SC13DQ!D33</f>
        <v>0</v>
      </c>
      <c r="F36" s="704">
        <f>SC13DQ!E33</f>
        <v>0</v>
      </c>
      <c r="G36" s="331">
        <f>SC13DQ!F33</f>
        <v>0</v>
      </c>
      <c r="H36" s="704">
        <f>SC13DQ!G33</f>
        <v>0</v>
      </c>
      <c r="I36" s="34">
        <f t="shared" si="6"/>
        <v>0</v>
      </c>
      <c r="J36" s="189" t="str">
        <f t="shared" si="2"/>
        <v/>
      </c>
      <c r="K36" s="367">
        <f>SC13DQ!J33</f>
        <v>0</v>
      </c>
    </row>
    <row r="37" spans="1:11" ht="12.75" customHeight="1" x14ac:dyDescent="0.25">
      <c r="A37" s="606" t="s">
        <v>1122</v>
      </c>
      <c r="B37" s="90"/>
      <c r="C37" s="744">
        <f>SC13DQ!B34</f>
        <v>0</v>
      </c>
      <c r="D37" s="744">
        <f>SC13DQ!C34</f>
        <v>0</v>
      </c>
      <c r="E37" s="331">
        <f>SC13DQ!D34</f>
        <v>0</v>
      </c>
      <c r="F37" s="704">
        <f>SC13DQ!E34</f>
        <v>0</v>
      </c>
      <c r="G37" s="331">
        <f>SC13DQ!F34</f>
        <v>0</v>
      </c>
      <c r="H37" s="704">
        <f>SC13DQ!G34</f>
        <v>0</v>
      </c>
      <c r="I37" s="34">
        <f t="shared" si="6"/>
        <v>0</v>
      </c>
      <c r="J37" s="189" t="str">
        <f t="shared" si="2"/>
        <v/>
      </c>
      <c r="K37" s="367">
        <f>SC13DQ!J34</f>
        <v>0</v>
      </c>
    </row>
    <row r="38" spans="1:11" ht="12.75" customHeight="1" x14ac:dyDescent="0.25">
      <c r="A38" s="30" t="s">
        <v>1146</v>
      </c>
      <c r="B38" s="90"/>
      <c r="C38" s="74">
        <f t="shared" ref="C38:H38" si="8">SUM(C39:C44)</f>
        <v>39221100.380000003</v>
      </c>
      <c r="D38" s="489">
        <f t="shared" si="8"/>
        <v>35804000</v>
      </c>
      <c r="E38" s="34">
        <f t="shared" si="8"/>
        <v>43205714.389999993</v>
      </c>
      <c r="F38" s="33">
        <f t="shared" si="8"/>
        <v>3549672.07</v>
      </c>
      <c r="G38" s="34">
        <f t="shared" si="8"/>
        <v>36184886.93</v>
      </c>
      <c r="H38" s="33">
        <f t="shared" si="8"/>
        <v>36191694.68</v>
      </c>
      <c r="I38" s="34">
        <f t="shared" si="6"/>
        <v>6807.75</v>
      </c>
      <c r="J38" s="189">
        <f t="shared" si="2"/>
        <v>1.8810254839384604E-4</v>
      </c>
      <c r="K38" s="35">
        <f>SUM(K39:K44)</f>
        <v>43205714.389999993</v>
      </c>
    </row>
    <row r="39" spans="1:11" ht="12.75" customHeight="1" x14ac:dyDescent="0.25">
      <c r="A39" s="606" t="s">
        <v>1147</v>
      </c>
      <c r="B39" s="90"/>
      <c r="C39" s="744">
        <f>SC13DQ!B36</f>
        <v>5896959.1699999999</v>
      </c>
      <c r="D39" s="744">
        <f>SC13DQ!C36</f>
        <v>4897600</v>
      </c>
      <c r="E39" s="331">
        <f>SC13DQ!D36</f>
        <v>9445286.9399999995</v>
      </c>
      <c r="F39" s="704">
        <f>SC13DQ!E36</f>
        <v>776324.8</v>
      </c>
      <c r="G39" s="331">
        <f>SC13DQ!F36</f>
        <v>7866758.8200000003</v>
      </c>
      <c r="H39" s="704">
        <f>SC13DQ!G36</f>
        <v>7866758.8200000003</v>
      </c>
      <c r="I39" s="34">
        <f t="shared" si="6"/>
        <v>0</v>
      </c>
      <c r="J39" s="189" t="str">
        <f t="shared" si="2"/>
        <v/>
      </c>
      <c r="K39" s="367">
        <f>SC13DQ!J36</f>
        <v>9445286.9399999995</v>
      </c>
    </row>
    <row r="40" spans="1:11" ht="12.75" customHeight="1" x14ac:dyDescent="0.25">
      <c r="A40" s="606" t="s">
        <v>117</v>
      </c>
      <c r="B40" s="90"/>
      <c r="C40" s="744">
        <f>SC13DQ!B37</f>
        <v>23806438.850000001</v>
      </c>
      <c r="D40" s="744">
        <f>SC13DQ!C37</f>
        <v>24296300</v>
      </c>
      <c r="E40" s="331">
        <f>SC13DQ!D37</f>
        <v>23677981.350000001</v>
      </c>
      <c r="F40" s="704">
        <f>SC13DQ!E37</f>
        <v>1945687.4</v>
      </c>
      <c r="G40" s="331">
        <f>SC13DQ!F37</f>
        <v>19929012.600000001</v>
      </c>
      <c r="H40" s="704">
        <f>SC13DQ!G37</f>
        <v>19931320.289999999</v>
      </c>
      <c r="I40" s="34">
        <f t="shared" si="6"/>
        <v>2307.6899999976158</v>
      </c>
      <c r="J40" s="189">
        <f t="shared" si="2"/>
        <v>1.1578209403194614E-4</v>
      </c>
      <c r="K40" s="367">
        <f>SC13DQ!J37</f>
        <v>23677981.350000001</v>
      </c>
    </row>
    <row r="41" spans="1:11" ht="12.75" customHeight="1" x14ac:dyDescent="0.25">
      <c r="A41" s="606" t="s">
        <v>1148</v>
      </c>
      <c r="B41" s="90"/>
      <c r="C41" s="744">
        <f>SC13DQ!B38</f>
        <v>7709232.3799999999</v>
      </c>
      <c r="D41" s="744">
        <f>SC13DQ!C38</f>
        <v>4783200</v>
      </c>
      <c r="E41" s="331">
        <f>SC13DQ!D38</f>
        <v>8171815.3700000001</v>
      </c>
      <c r="F41" s="704">
        <f>SC13DQ!E38</f>
        <v>671418.76</v>
      </c>
      <c r="G41" s="331">
        <f>SC13DQ!F38</f>
        <v>6805869.3300000001</v>
      </c>
      <c r="H41" s="704">
        <f>SC13DQ!G38</f>
        <v>6805869.3300000001</v>
      </c>
      <c r="I41" s="34">
        <f t="shared" si="6"/>
        <v>0</v>
      </c>
      <c r="J41" s="189" t="str">
        <f t="shared" si="2"/>
        <v/>
      </c>
      <c r="K41" s="367">
        <f>SC13DQ!J38</f>
        <v>8171815.3700000001</v>
      </c>
    </row>
    <row r="42" spans="1:11" ht="12.75" customHeight="1" x14ac:dyDescent="0.25">
      <c r="A42" s="606" t="s">
        <v>1149</v>
      </c>
      <c r="B42" s="90"/>
      <c r="C42" s="744">
        <f>SC13DQ!B39</f>
        <v>1808469.98</v>
      </c>
      <c r="D42" s="744">
        <f>SC13DQ!C39</f>
        <v>1826900</v>
      </c>
      <c r="E42" s="331">
        <f>SC13DQ!D39</f>
        <v>1910630.73</v>
      </c>
      <c r="F42" s="704">
        <f>SC13DQ!E39</f>
        <v>156241.10999999999</v>
      </c>
      <c r="G42" s="331">
        <f>SC13DQ!F39</f>
        <v>1583246.18</v>
      </c>
      <c r="H42" s="704">
        <f>SC13DQ!G39</f>
        <v>1587746.24</v>
      </c>
      <c r="I42" s="34">
        <f t="shared" si="6"/>
        <v>4500.0600000000559</v>
      </c>
      <c r="J42" s="189">
        <f t="shared" si="2"/>
        <v>2.8342438398720792E-3</v>
      </c>
      <c r="K42" s="367">
        <f>SC13DQ!J39</f>
        <v>1910630.73</v>
      </c>
    </row>
    <row r="43" spans="1:11" ht="12.75" customHeight="1" x14ac:dyDescent="0.25">
      <c r="A43" s="606" t="s">
        <v>1150</v>
      </c>
      <c r="B43" s="90"/>
      <c r="C43" s="744">
        <f>SC13DQ!B40</f>
        <v>0</v>
      </c>
      <c r="D43" s="744">
        <f>SC13DQ!C40</f>
        <v>0</v>
      </c>
      <c r="E43" s="331">
        <f>SC13DQ!D40</f>
        <v>0</v>
      </c>
      <c r="F43" s="704">
        <f>SC13DQ!E40</f>
        <v>0</v>
      </c>
      <c r="G43" s="331">
        <f>SC13DQ!F40</f>
        <v>0</v>
      </c>
      <c r="H43" s="704">
        <f>SC13DQ!G40</f>
        <v>0</v>
      </c>
      <c r="I43" s="34">
        <f t="shared" si="6"/>
        <v>0</v>
      </c>
      <c r="J43" s="189" t="str">
        <f t="shared" si="2"/>
        <v/>
      </c>
      <c r="K43" s="367">
        <f>SC13DQ!J40</f>
        <v>0</v>
      </c>
    </row>
    <row r="44" spans="1:11" ht="12.75" customHeight="1" x14ac:dyDescent="0.25">
      <c r="A44" s="606" t="s">
        <v>1122</v>
      </c>
      <c r="B44" s="90"/>
      <c r="C44" s="744">
        <f>SC13DQ!B41</f>
        <v>0</v>
      </c>
      <c r="D44" s="744">
        <f>SC13DQ!C41</f>
        <v>0</v>
      </c>
      <c r="E44" s="331">
        <f>SC13DQ!D41</f>
        <v>0</v>
      </c>
      <c r="F44" s="704">
        <f>SC13DQ!E41</f>
        <v>0</v>
      </c>
      <c r="G44" s="331">
        <f>SC13DQ!F41</f>
        <v>0</v>
      </c>
      <c r="H44" s="704">
        <f>SC13DQ!G41</f>
        <v>0</v>
      </c>
      <c r="I44" s="34">
        <f t="shared" si="6"/>
        <v>0</v>
      </c>
      <c r="J44" s="189" t="str">
        <f t="shared" si="2"/>
        <v/>
      </c>
      <c r="K44" s="367">
        <f>SC13DQ!J41</f>
        <v>0</v>
      </c>
    </row>
    <row r="45" spans="1:11" ht="12.75" customHeight="1" x14ac:dyDescent="0.25">
      <c r="A45" s="30" t="s">
        <v>1151</v>
      </c>
      <c r="B45" s="90"/>
      <c r="C45" s="74">
        <f t="shared" ref="C45:H45" si="9">SUM(C46:C52)</f>
        <v>644223.30999999994</v>
      </c>
      <c r="D45" s="489">
        <f t="shared" si="9"/>
        <v>517700</v>
      </c>
      <c r="E45" s="34">
        <f t="shared" si="9"/>
        <v>657364.16999999993</v>
      </c>
      <c r="F45" s="33">
        <f t="shared" si="9"/>
        <v>52949.9</v>
      </c>
      <c r="G45" s="34">
        <f t="shared" si="9"/>
        <v>536558.56000000006</v>
      </c>
      <c r="H45" s="33">
        <f t="shared" si="9"/>
        <v>538831.29</v>
      </c>
      <c r="I45" s="34">
        <f t="shared" si="6"/>
        <v>2272.7299999999814</v>
      </c>
      <c r="J45" s="189">
        <f t="shared" si="2"/>
        <v>4.217887940397784E-3</v>
      </c>
      <c r="K45" s="35">
        <f>SUM(K46:K52)</f>
        <v>657364.16999999993</v>
      </c>
    </row>
    <row r="46" spans="1:11" ht="12.75" customHeight="1" x14ac:dyDescent="0.25">
      <c r="A46" s="606" t="s">
        <v>1152</v>
      </c>
      <c r="B46" s="90"/>
      <c r="C46" s="744">
        <f>SC13DQ!B43</f>
        <v>0</v>
      </c>
      <c r="D46" s="744">
        <f>SC13DQ!C43</f>
        <v>0</v>
      </c>
      <c r="E46" s="331">
        <f>SC13DQ!D43</f>
        <v>0</v>
      </c>
      <c r="F46" s="704">
        <f>SC13DQ!E43</f>
        <v>0</v>
      </c>
      <c r="G46" s="331">
        <f>SC13DQ!F43</f>
        <v>0</v>
      </c>
      <c r="H46" s="704">
        <f>SC13DQ!G43</f>
        <v>0</v>
      </c>
      <c r="I46" s="34">
        <f t="shared" si="6"/>
        <v>0</v>
      </c>
      <c r="J46" s="189" t="str">
        <f t="shared" si="2"/>
        <v/>
      </c>
      <c r="K46" s="367">
        <f>SC13DQ!J43</f>
        <v>0</v>
      </c>
    </row>
    <row r="47" spans="1:11" ht="12.75" customHeight="1" x14ac:dyDescent="0.25">
      <c r="A47" s="606" t="s">
        <v>1153</v>
      </c>
      <c r="B47" s="90"/>
      <c r="C47" s="744">
        <f>SC13DQ!B44</f>
        <v>40712.449999999997</v>
      </c>
      <c r="D47" s="744">
        <f>SC13DQ!C44</f>
        <v>53400</v>
      </c>
      <c r="E47" s="331">
        <f>SC13DQ!D44</f>
        <v>53853.35</v>
      </c>
      <c r="F47" s="704">
        <f>SC13DQ!E44</f>
        <v>3346.24</v>
      </c>
      <c r="G47" s="331">
        <f>SC13DQ!F44</f>
        <v>33908.44</v>
      </c>
      <c r="H47" s="704">
        <f>SC13DQ!G44</f>
        <v>36181.17</v>
      </c>
      <c r="I47" s="34">
        <f t="shared" si="6"/>
        <v>2272.7299999999959</v>
      </c>
      <c r="J47" s="189">
        <f t="shared" si="2"/>
        <v>6.2815271037393094E-2</v>
      </c>
      <c r="K47" s="367">
        <f>SC13DQ!J44</f>
        <v>53853.35</v>
      </c>
    </row>
    <row r="48" spans="1:11" ht="12.75" customHeight="1" x14ac:dyDescent="0.25">
      <c r="A48" s="606" t="s">
        <v>1154</v>
      </c>
      <c r="B48" s="90"/>
      <c r="C48" s="744">
        <f>SC13DQ!B45</f>
        <v>0</v>
      </c>
      <c r="D48" s="744">
        <f>SC13DQ!C45</f>
        <v>0</v>
      </c>
      <c r="E48" s="331">
        <f>SC13DQ!D45</f>
        <v>0</v>
      </c>
      <c r="F48" s="704">
        <f>SC13DQ!E45</f>
        <v>0</v>
      </c>
      <c r="G48" s="331">
        <f>SC13DQ!F45</f>
        <v>0</v>
      </c>
      <c r="H48" s="704">
        <f>SC13DQ!G45</f>
        <v>0</v>
      </c>
      <c r="I48" s="34">
        <f t="shared" si="6"/>
        <v>0</v>
      </c>
      <c r="J48" s="189" t="str">
        <f t="shared" si="2"/>
        <v/>
      </c>
      <c r="K48" s="367">
        <f>SC13DQ!J45</f>
        <v>0</v>
      </c>
    </row>
    <row r="49" spans="1:11" ht="12.75" customHeight="1" x14ac:dyDescent="0.25">
      <c r="A49" s="606" t="s">
        <v>1155</v>
      </c>
      <c r="B49" s="90"/>
      <c r="C49" s="744">
        <f>SC13DQ!B46</f>
        <v>0</v>
      </c>
      <c r="D49" s="744">
        <f>SC13DQ!C46</f>
        <v>0</v>
      </c>
      <c r="E49" s="331">
        <f>SC13DQ!D46</f>
        <v>0</v>
      </c>
      <c r="F49" s="704">
        <f>SC13DQ!E46</f>
        <v>0</v>
      </c>
      <c r="G49" s="331">
        <f>SC13DQ!F46</f>
        <v>0</v>
      </c>
      <c r="H49" s="704">
        <f>SC13DQ!G46</f>
        <v>0</v>
      </c>
      <c r="I49" s="34">
        <f t="shared" si="6"/>
        <v>0</v>
      </c>
      <c r="J49" s="189" t="str">
        <f t="shared" si="2"/>
        <v/>
      </c>
      <c r="K49" s="367">
        <f>SC13DQ!J46</f>
        <v>0</v>
      </c>
    </row>
    <row r="50" spans="1:11" ht="12.75" customHeight="1" x14ac:dyDescent="0.25">
      <c r="A50" s="606" t="s">
        <v>1156</v>
      </c>
      <c r="B50" s="90"/>
      <c r="C50" s="744">
        <f>SC13DQ!B47</f>
        <v>603510.86</v>
      </c>
      <c r="D50" s="744">
        <f>SC13DQ!C47</f>
        <v>464300</v>
      </c>
      <c r="E50" s="331">
        <f>SC13DQ!D47</f>
        <v>603510.81999999995</v>
      </c>
      <c r="F50" s="704">
        <f>SC13DQ!E47</f>
        <v>49603.66</v>
      </c>
      <c r="G50" s="331">
        <f>SC13DQ!F47</f>
        <v>502650.12</v>
      </c>
      <c r="H50" s="704">
        <f>SC13DQ!G47</f>
        <v>502650.12</v>
      </c>
      <c r="I50" s="34">
        <f t="shared" si="6"/>
        <v>0</v>
      </c>
      <c r="J50" s="189" t="str">
        <f t="shared" si="2"/>
        <v/>
      </c>
      <c r="K50" s="367">
        <f>SC13DQ!J47</f>
        <v>603510.81999999995</v>
      </c>
    </row>
    <row r="51" spans="1:11" ht="12.75" customHeight="1" x14ac:dyDescent="0.25">
      <c r="A51" s="606" t="s">
        <v>1157</v>
      </c>
      <c r="B51" s="90"/>
      <c r="C51" s="744">
        <f>SC13DQ!B48</f>
        <v>0</v>
      </c>
      <c r="D51" s="744">
        <f>SC13DQ!C48</f>
        <v>0</v>
      </c>
      <c r="E51" s="331">
        <f>SC13DQ!D48</f>
        <v>0</v>
      </c>
      <c r="F51" s="704">
        <f>SC13DQ!E48</f>
        <v>0</v>
      </c>
      <c r="G51" s="331">
        <f>SC13DQ!F48</f>
        <v>0</v>
      </c>
      <c r="H51" s="704">
        <f>SC13DQ!G48</f>
        <v>0</v>
      </c>
      <c r="I51" s="34">
        <f t="shared" si="6"/>
        <v>0</v>
      </c>
      <c r="J51" s="189" t="str">
        <f t="shared" si="2"/>
        <v/>
      </c>
      <c r="K51" s="367">
        <f>SC13DQ!J48</f>
        <v>0</v>
      </c>
    </row>
    <row r="52" spans="1:11" ht="12.75" customHeight="1" x14ac:dyDescent="0.25">
      <c r="A52" s="606" t="s">
        <v>1122</v>
      </c>
      <c r="B52" s="90"/>
      <c r="C52" s="744">
        <f>SC13DQ!B49</f>
        <v>0</v>
      </c>
      <c r="D52" s="744">
        <f>SC13DQ!C49</f>
        <v>0</v>
      </c>
      <c r="E52" s="331">
        <f>SC13DQ!D49</f>
        <v>0</v>
      </c>
      <c r="F52" s="704">
        <f>SC13DQ!E49</f>
        <v>0</v>
      </c>
      <c r="G52" s="331">
        <f>SC13DQ!F49</f>
        <v>0</v>
      </c>
      <c r="H52" s="704">
        <f>SC13DQ!G49</f>
        <v>0</v>
      </c>
      <c r="I52" s="34">
        <f t="shared" si="6"/>
        <v>0</v>
      </c>
      <c r="J52" s="189" t="str">
        <f t="shared" si="2"/>
        <v/>
      </c>
      <c r="K52" s="367">
        <f>SC13DQ!J49</f>
        <v>0</v>
      </c>
    </row>
    <row r="53" spans="1:11" ht="12.75" customHeight="1" x14ac:dyDescent="0.25">
      <c r="A53" s="30" t="s">
        <v>1158</v>
      </c>
      <c r="B53" s="90"/>
      <c r="C53" s="74">
        <f t="shared" ref="C53:H53" si="10">SUM(C54:C62)</f>
        <v>80157.600000000006</v>
      </c>
      <c r="D53" s="489">
        <f t="shared" si="10"/>
        <v>112100</v>
      </c>
      <c r="E53" s="34">
        <f t="shared" si="10"/>
        <v>91879.450000000012</v>
      </c>
      <c r="F53" s="33">
        <f t="shared" si="10"/>
        <v>6560.58</v>
      </c>
      <c r="G53" s="34">
        <f t="shared" si="10"/>
        <v>66481.37</v>
      </c>
      <c r="H53" s="33">
        <f t="shared" si="10"/>
        <v>71648.959999999992</v>
      </c>
      <c r="I53" s="34">
        <f t="shared" si="6"/>
        <v>5167.5899999999965</v>
      </c>
      <c r="J53" s="189">
        <f t="shared" si="2"/>
        <v>7.2123726569094618E-2</v>
      </c>
      <c r="K53" s="35">
        <f>SUM(K54:K62)</f>
        <v>91879.450000000012</v>
      </c>
    </row>
    <row r="54" spans="1:11" ht="12.75" customHeight="1" x14ac:dyDescent="0.25">
      <c r="A54" s="606" t="s">
        <v>1159</v>
      </c>
      <c r="B54" s="90"/>
      <c r="C54" s="744">
        <f>SC13DQ!B51</f>
        <v>80157.600000000006</v>
      </c>
      <c r="D54" s="744">
        <f>SC13DQ!C51</f>
        <v>85400</v>
      </c>
      <c r="E54" s="331">
        <f>SC13DQ!D51</f>
        <v>79821.460000000006</v>
      </c>
      <c r="F54" s="704">
        <f>SC13DQ!E51</f>
        <v>6560.58</v>
      </c>
      <c r="G54" s="331">
        <f>SC13DQ!F51</f>
        <v>66481.37</v>
      </c>
      <c r="H54" s="704">
        <f>SC13DQ!G51</f>
        <v>66481.37</v>
      </c>
      <c r="I54" s="34">
        <f t="shared" si="6"/>
        <v>0</v>
      </c>
      <c r="J54" s="189" t="str">
        <f t="shared" si="2"/>
        <v/>
      </c>
      <c r="K54" s="367">
        <f>SC13DQ!J51</f>
        <v>79821.460000000006</v>
      </c>
    </row>
    <row r="55" spans="1:11" ht="12.75" customHeight="1" x14ac:dyDescent="0.25">
      <c r="A55" s="606" t="s">
        <v>1160</v>
      </c>
      <c r="B55" s="90"/>
      <c r="C55" s="744">
        <f>SC13DQ!B52</f>
        <v>0</v>
      </c>
      <c r="D55" s="744">
        <f>SC13DQ!C52</f>
        <v>26700</v>
      </c>
      <c r="E55" s="331">
        <f>SC13DQ!D52</f>
        <v>12057.99</v>
      </c>
      <c r="F55" s="704">
        <f>SC13DQ!E52</f>
        <v>0</v>
      </c>
      <c r="G55" s="331">
        <f>SC13DQ!F52</f>
        <v>0</v>
      </c>
      <c r="H55" s="704">
        <f>SC13DQ!G52</f>
        <v>5167.59</v>
      </c>
      <c r="I55" s="34">
        <f t="shared" si="6"/>
        <v>5167.59</v>
      </c>
      <c r="J55" s="189">
        <f t="shared" si="2"/>
        <v>1</v>
      </c>
      <c r="K55" s="367">
        <f>SC13DQ!J52</f>
        <v>12057.99</v>
      </c>
    </row>
    <row r="56" spans="1:11" ht="12.75" customHeight="1" x14ac:dyDescent="0.25">
      <c r="A56" s="606" t="s">
        <v>1161</v>
      </c>
      <c r="B56" s="90"/>
      <c r="C56" s="744">
        <f>SC13DQ!B53</f>
        <v>0</v>
      </c>
      <c r="D56" s="744">
        <f>SC13DQ!C53</f>
        <v>0</v>
      </c>
      <c r="E56" s="331">
        <f>SC13DQ!D53</f>
        <v>0</v>
      </c>
      <c r="F56" s="704">
        <f>SC13DQ!E53</f>
        <v>0</v>
      </c>
      <c r="G56" s="331">
        <f>SC13DQ!F53</f>
        <v>0</v>
      </c>
      <c r="H56" s="704">
        <f>SC13DQ!G53</f>
        <v>0</v>
      </c>
      <c r="I56" s="34">
        <f t="shared" si="6"/>
        <v>0</v>
      </c>
      <c r="J56" s="189" t="str">
        <f t="shared" si="2"/>
        <v/>
      </c>
      <c r="K56" s="367">
        <f>SC13DQ!J53</f>
        <v>0</v>
      </c>
    </row>
    <row r="57" spans="1:11" ht="12.75" customHeight="1" x14ac:dyDescent="0.25">
      <c r="A57" s="606" t="s">
        <v>1124</v>
      </c>
      <c r="B57" s="90"/>
      <c r="C57" s="744">
        <f>SC13DQ!B54</f>
        <v>0</v>
      </c>
      <c r="D57" s="744">
        <f>SC13DQ!C54</f>
        <v>0</v>
      </c>
      <c r="E57" s="331">
        <f>SC13DQ!D54</f>
        <v>0</v>
      </c>
      <c r="F57" s="704">
        <f>SC13DQ!E54</f>
        <v>0</v>
      </c>
      <c r="G57" s="331">
        <f>SC13DQ!F54</f>
        <v>0</v>
      </c>
      <c r="H57" s="704">
        <f>SC13DQ!G54</f>
        <v>0</v>
      </c>
      <c r="I57" s="34">
        <f t="shared" si="6"/>
        <v>0</v>
      </c>
      <c r="J57" s="189" t="str">
        <f t="shared" si="2"/>
        <v/>
      </c>
      <c r="K57" s="367">
        <f>SC13DQ!J54</f>
        <v>0</v>
      </c>
    </row>
    <row r="58" spans="1:11" ht="12.75" customHeight="1" x14ac:dyDescent="0.25">
      <c r="A58" s="606" t="s">
        <v>1125</v>
      </c>
      <c r="B58" s="90"/>
      <c r="C58" s="744">
        <f>SC13DQ!B55</f>
        <v>0</v>
      </c>
      <c r="D58" s="744">
        <f>SC13DQ!C55</f>
        <v>0</v>
      </c>
      <c r="E58" s="331">
        <f>SC13DQ!D55</f>
        <v>0</v>
      </c>
      <c r="F58" s="704">
        <f>SC13DQ!E55</f>
        <v>0</v>
      </c>
      <c r="G58" s="331">
        <f>SC13DQ!F55</f>
        <v>0</v>
      </c>
      <c r="H58" s="704">
        <f>SC13DQ!G55</f>
        <v>0</v>
      </c>
      <c r="I58" s="34">
        <f t="shared" si="6"/>
        <v>0</v>
      </c>
      <c r="J58" s="189" t="str">
        <f t="shared" si="2"/>
        <v/>
      </c>
      <c r="K58" s="367">
        <f>SC13DQ!J55</f>
        <v>0</v>
      </c>
    </row>
    <row r="59" spans="1:11" ht="12.75" customHeight="1" x14ac:dyDescent="0.25">
      <c r="A59" s="606" t="s">
        <v>1126</v>
      </c>
      <c r="B59" s="90"/>
      <c r="C59" s="744">
        <f>SC13DQ!B56</f>
        <v>0</v>
      </c>
      <c r="D59" s="744">
        <f>SC13DQ!C56</f>
        <v>0</v>
      </c>
      <c r="E59" s="331">
        <f>SC13DQ!D56</f>
        <v>0</v>
      </c>
      <c r="F59" s="704">
        <f>SC13DQ!E56</f>
        <v>0</v>
      </c>
      <c r="G59" s="331">
        <f>SC13DQ!F56</f>
        <v>0</v>
      </c>
      <c r="H59" s="704">
        <f>SC13DQ!G56</f>
        <v>0</v>
      </c>
      <c r="I59" s="34">
        <f t="shared" si="6"/>
        <v>0</v>
      </c>
      <c r="J59" s="189" t="str">
        <f t="shared" si="2"/>
        <v/>
      </c>
      <c r="K59" s="367">
        <f>SC13DQ!J56</f>
        <v>0</v>
      </c>
    </row>
    <row r="60" spans="1:11" ht="12.75" customHeight="1" x14ac:dyDescent="0.25">
      <c r="A60" s="606" t="s">
        <v>1132</v>
      </c>
      <c r="B60" s="90"/>
      <c r="C60" s="744">
        <f>SC13DQ!B57</f>
        <v>0</v>
      </c>
      <c r="D60" s="744">
        <f>SC13DQ!C57</f>
        <v>0</v>
      </c>
      <c r="E60" s="331">
        <f>SC13DQ!D57</f>
        <v>0</v>
      </c>
      <c r="F60" s="704">
        <f>SC13DQ!E57</f>
        <v>0</v>
      </c>
      <c r="G60" s="331">
        <f>SC13DQ!F57</f>
        <v>0</v>
      </c>
      <c r="H60" s="704">
        <f>SC13DQ!G57</f>
        <v>0</v>
      </c>
      <c r="I60" s="34">
        <f t="shared" si="6"/>
        <v>0</v>
      </c>
      <c r="J60" s="189" t="str">
        <f t="shared" si="2"/>
        <v/>
      </c>
      <c r="K60" s="367">
        <f>SC13DQ!J57</f>
        <v>0</v>
      </c>
    </row>
    <row r="61" spans="1:11" ht="12.75" customHeight="1" x14ac:dyDescent="0.25">
      <c r="A61" s="606" t="s">
        <v>1135</v>
      </c>
      <c r="B61" s="90"/>
      <c r="C61" s="744">
        <f>SC13DQ!B58</f>
        <v>0</v>
      </c>
      <c r="D61" s="744">
        <f>SC13DQ!C58</f>
        <v>0</v>
      </c>
      <c r="E61" s="331">
        <f>SC13DQ!D58</f>
        <v>0</v>
      </c>
      <c r="F61" s="704">
        <f>SC13DQ!E58</f>
        <v>0</v>
      </c>
      <c r="G61" s="331">
        <f>SC13DQ!F58</f>
        <v>0</v>
      </c>
      <c r="H61" s="704">
        <f>SC13DQ!G58</f>
        <v>0</v>
      </c>
      <c r="I61" s="34">
        <f t="shared" si="6"/>
        <v>0</v>
      </c>
      <c r="J61" s="189" t="str">
        <f t="shared" si="2"/>
        <v/>
      </c>
      <c r="K61" s="367">
        <f>SC13DQ!J58</f>
        <v>0</v>
      </c>
    </row>
    <row r="62" spans="1:11" ht="12.75" customHeight="1" x14ac:dyDescent="0.25">
      <c r="A62" s="606" t="s">
        <v>1122</v>
      </c>
      <c r="B62" s="90"/>
      <c r="C62" s="744">
        <f>SC13DQ!B59</f>
        <v>0</v>
      </c>
      <c r="D62" s="744">
        <f>SC13DQ!C59</f>
        <v>0</v>
      </c>
      <c r="E62" s="331">
        <f>SC13DQ!D59</f>
        <v>0</v>
      </c>
      <c r="F62" s="704">
        <f>SC13DQ!E59</f>
        <v>0</v>
      </c>
      <c r="G62" s="331">
        <f>SC13DQ!F59</f>
        <v>0</v>
      </c>
      <c r="H62" s="704">
        <f>SC13DQ!G59</f>
        <v>0</v>
      </c>
      <c r="I62" s="34">
        <f t="shared" si="6"/>
        <v>0</v>
      </c>
      <c r="J62" s="189" t="str">
        <f t="shared" si="2"/>
        <v/>
      </c>
      <c r="K62" s="367">
        <f>SC13DQ!J59</f>
        <v>0</v>
      </c>
    </row>
    <row r="63" spans="1:11" ht="12.75" customHeight="1" x14ac:dyDescent="0.25">
      <c r="A63" s="30" t="s">
        <v>1162</v>
      </c>
      <c r="B63" s="90"/>
      <c r="C63" s="74">
        <f t="shared" ref="C63:H63" si="11">SUM(C64:C68)</f>
        <v>465200.23</v>
      </c>
      <c r="D63" s="489">
        <f t="shared" si="11"/>
        <v>466100</v>
      </c>
      <c r="E63" s="34">
        <f t="shared" si="11"/>
        <v>475879.16000000003</v>
      </c>
      <c r="F63" s="33">
        <f t="shared" si="11"/>
        <v>38235.68</v>
      </c>
      <c r="G63" s="34">
        <f t="shared" si="11"/>
        <v>387454.53</v>
      </c>
      <c r="H63" s="33">
        <f t="shared" si="11"/>
        <v>392690.71</v>
      </c>
      <c r="I63" s="34">
        <f t="shared" si="6"/>
        <v>5236.179999999993</v>
      </c>
      <c r="J63" s="189">
        <f t="shared" si="2"/>
        <v>1.3334107139942254E-2</v>
      </c>
      <c r="K63" s="35">
        <f>SUM(K64:K68)</f>
        <v>475879.16000000003</v>
      </c>
    </row>
    <row r="64" spans="1:11" ht="12.75" customHeight="1" x14ac:dyDescent="0.25">
      <c r="A64" s="606" t="s">
        <v>1163</v>
      </c>
      <c r="B64" s="90"/>
      <c r="C64" s="744">
        <f>SC13DQ!B61</f>
        <v>0</v>
      </c>
      <c r="D64" s="744">
        <f>SC13DQ!C61</f>
        <v>700</v>
      </c>
      <c r="E64" s="331">
        <f>SC13DQ!D61</f>
        <v>686.28</v>
      </c>
      <c r="F64" s="704">
        <f>SC13DQ!E61</f>
        <v>0</v>
      </c>
      <c r="G64" s="331">
        <f>SC13DQ!F61</f>
        <v>0</v>
      </c>
      <c r="H64" s="704">
        <f>SC13DQ!G61</f>
        <v>294.12</v>
      </c>
      <c r="I64" s="34">
        <f t="shared" si="6"/>
        <v>294.12</v>
      </c>
      <c r="J64" s="189">
        <f t="shared" si="2"/>
        <v>1</v>
      </c>
      <c r="K64" s="367">
        <f>SC13DQ!J61</f>
        <v>686.28</v>
      </c>
    </row>
    <row r="65" spans="1:11" ht="12.75" customHeight="1" x14ac:dyDescent="0.25">
      <c r="A65" s="606" t="s">
        <v>1164</v>
      </c>
      <c r="B65" s="90"/>
      <c r="C65" s="744">
        <f>SC13DQ!B62</f>
        <v>0</v>
      </c>
      <c r="D65" s="744">
        <f>SC13DQ!C62</f>
        <v>200</v>
      </c>
      <c r="E65" s="331">
        <f>SC13DQ!D62</f>
        <v>9992.5499999999993</v>
      </c>
      <c r="F65" s="704">
        <f>SC13DQ!E62</f>
        <v>0</v>
      </c>
      <c r="G65" s="331">
        <f>SC13DQ!F62</f>
        <v>0</v>
      </c>
      <c r="H65" s="704">
        <f>SC13DQ!G62</f>
        <v>4942.0600000000004</v>
      </c>
      <c r="I65" s="34">
        <f t="shared" si="6"/>
        <v>4942.0600000000004</v>
      </c>
      <c r="J65" s="189">
        <f t="shared" si="2"/>
        <v>1</v>
      </c>
      <c r="K65" s="367">
        <f>SC13DQ!J62</f>
        <v>9992.5499999999993</v>
      </c>
    </row>
    <row r="66" spans="1:11" ht="12.75" customHeight="1" x14ac:dyDescent="0.25">
      <c r="A66" s="606" t="s">
        <v>1165</v>
      </c>
      <c r="B66" s="90"/>
      <c r="C66" s="744">
        <f>SC13DQ!B63</f>
        <v>0</v>
      </c>
      <c r="D66" s="744">
        <f>SC13DQ!C63</f>
        <v>0</v>
      </c>
      <c r="E66" s="331">
        <f>SC13DQ!D63</f>
        <v>0</v>
      </c>
      <c r="F66" s="704">
        <f>SC13DQ!E63</f>
        <v>0</v>
      </c>
      <c r="G66" s="331">
        <f>SC13DQ!F63</f>
        <v>0</v>
      </c>
      <c r="H66" s="704">
        <f>SC13DQ!G63</f>
        <v>0</v>
      </c>
      <c r="I66" s="34">
        <f t="shared" si="6"/>
        <v>0</v>
      </c>
      <c r="J66" s="189" t="str">
        <f t="shared" si="2"/>
        <v/>
      </c>
      <c r="K66" s="367">
        <f>SC13DQ!J63</f>
        <v>0</v>
      </c>
    </row>
    <row r="67" spans="1:11" ht="12.75" customHeight="1" x14ac:dyDescent="0.25">
      <c r="A67" s="606" t="s">
        <v>1166</v>
      </c>
      <c r="B67" s="90"/>
      <c r="C67" s="744">
        <f>SC13DQ!B64</f>
        <v>465200.23</v>
      </c>
      <c r="D67" s="744">
        <f>SC13DQ!C64</f>
        <v>465200</v>
      </c>
      <c r="E67" s="331">
        <f>SC13DQ!D64</f>
        <v>465200.33</v>
      </c>
      <c r="F67" s="704">
        <f>SC13DQ!E64</f>
        <v>38235.68</v>
      </c>
      <c r="G67" s="331">
        <f>SC13DQ!F64</f>
        <v>387454.53</v>
      </c>
      <c r="H67" s="704">
        <f>SC13DQ!G64</f>
        <v>387454.53</v>
      </c>
      <c r="I67" s="34">
        <f t="shared" si="6"/>
        <v>0</v>
      </c>
      <c r="J67" s="189" t="str">
        <f t="shared" si="2"/>
        <v/>
      </c>
      <c r="K67" s="367">
        <f>SC13DQ!J64</f>
        <v>465200.33</v>
      </c>
    </row>
    <row r="68" spans="1:11" ht="12.75" customHeight="1" x14ac:dyDescent="0.25">
      <c r="A68" s="606" t="s">
        <v>1122</v>
      </c>
      <c r="B68" s="90"/>
      <c r="C68" s="744">
        <f>SC13DQ!B65</f>
        <v>0</v>
      </c>
      <c r="D68" s="744">
        <f>SC13DQ!C65</f>
        <v>0</v>
      </c>
      <c r="E68" s="331">
        <f>SC13DQ!D65</f>
        <v>0</v>
      </c>
      <c r="F68" s="704">
        <f>SC13DQ!E65</f>
        <v>0</v>
      </c>
      <c r="G68" s="331">
        <f>SC13DQ!F65</f>
        <v>0</v>
      </c>
      <c r="H68" s="704">
        <f>SC13DQ!G65</f>
        <v>0</v>
      </c>
      <c r="I68" s="34">
        <f t="shared" si="6"/>
        <v>0</v>
      </c>
      <c r="J68" s="189" t="str">
        <f t="shared" si="2"/>
        <v/>
      </c>
      <c r="K68" s="367">
        <f>SC13DQ!J65</f>
        <v>0</v>
      </c>
    </row>
    <row r="69" spans="1:11" ht="12.75" customHeight="1" x14ac:dyDescent="0.25">
      <c r="A69" s="30" t="s">
        <v>1167</v>
      </c>
      <c r="B69" s="90"/>
      <c r="C69" s="74">
        <f t="shared" ref="C69:H69" si="12">SUM(C70:C73)</f>
        <v>2274829.13</v>
      </c>
      <c r="D69" s="489">
        <f t="shared" si="12"/>
        <v>2293500</v>
      </c>
      <c r="E69" s="34">
        <f t="shared" si="12"/>
        <v>2596273.0299999998</v>
      </c>
      <c r="F69" s="33">
        <f t="shared" si="12"/>
        <v>207237.12</v>
      </c>
      <c r="G69" s="34">
        <f t="shared" si="12"/>
        <v>2100003.63</v>
      </c>
      <c r="H69" s="33">
        <f t="shared" si="12"/>
        <v>2129209.19</v>
      </c>
      <c r="I69" s="34">
        <f t="shared" si="6"/>
        <v>29205.560000000056</v>
      </c>
      <c r="J69" s="189">
        <f t="shared" si="2"/>
        <v>1.3716623118651886E-2</v>
      </c>
      <c r="K69" s="35">
        <f>SUM(K70:K73)</f>
        <v>2596273.0299999998</v>
      </c>
    </row>
    <row r="70" spans="1:11" ht="12.75" customHeight="1" x14ac:dyDescent="0.25">
      <c r="A70" s="606" t="s">
        <v>1168</v>
      </c>
      <c r="B70" s="90"/>
      <c r="C70" s="744">
        <f>SC13DQ!B67</f>
        <v>0</v>
      </c>
      <c r="D70" s="744">
        <f>SC13DQ!C67</f>
        <v>26800</v>
      </c>
      <c r="E70" s="331">
        <f>SC13DQ!D67</f>
        <v>74886.38</v>
      </c>
      <c r="F70" s="704">
        <f>SC13DQ!E67</f>
        <v>0</v>
      </c>
      <c r="G70" s="331">
        <f>SC13DQ!F67</f>
        <v>0</v>
      </c>
      <c r="H70" s="704">
        <f>SC13DQ!G67</f>
        <v>29205.56</v>
      </c>
      <c r="I70" s="34">
        <f t="shared" si="6"/>
        <v>29205.56</v>
      </c>
      <c r="J70" s="189">
        <f t="shared" si="2"/>
        <v>1</v>
      </c>
      <c r="K70" s="367">
        <f>SC13DQ!J67</f>
        <v>74886.38</v>
      </c>
    </row>
    <row r="71" spans="1:11" ht="12.75" customHeight="1" x14ac:dyDescent="0.25">
      <c r="A71" s="606" t="s">
        <v>1169</v>
      </c>
      <c r="B71" s="90"/>
      <c r="C71" s="744">
        <f>SC13DQ!B68</f>
        <v>2274829.13</v>
      </c>
      <c r="D71" s="744">
        <f>SC13DQ!C68</f>
        <v>2266700</v>
      </c>
      <c r="E71" s="331">
        <f>SC13DQ!D68</f>
        <v>2521386.65</v>
      </c>
      <c r="F71" s="704">
        <f>SC13DQ!E68</f>
        <v>207237.12</v>
      </c>
      <c r="G71" s="331">
        <f>SC13DQ!F68</f>
        <v>2100003.63</v>
      </c>
      <c r="H71" s="704">
        <f>SC13DQ!G68</f>
        <v>2100003.63</v>
      </c>
      <c r="I71" s="34">
        <f t="shared" si="6"/>
        <v>0</v>
      </c>
      <c r="J71" s="189" t="str">
        <f t="shared" ref="J71:J134" si="13">IF(I71=0,"",I71/H71)</f>
        <v/>
      </c>
      <c r="K71" s="367">
        <f>SC13DQ!J68</f>
        <v>2521386.65</v>
      </c>
    </row>
    <row r="72" spans="1:11" ht="12.75" customHeight="1" x14ac:dyDescent="0.25">
      <c r="A72" s="606" t="s">
        <v>1170</v>
      </c>
      <c r="B72" s="90"/>
      <c r="C72" s="744">
        <f>SC13DQ!B69</f>
        <v>0</v>
      </c>
      <c r="D72" s="744">
        <f>SC13DQ!C69</f>
        <v>0</v>
      </c>
      <c r="E72" s="331">
        <f>SC13DQ!D69</f>
        <v>0</v>
      </c>
      <c r="F72" s="704">
        <f>SC13DQ!E69</f>
        <v>0</v>
      </c>
      <c r="G72" s="331">
        <f>SC13DQ!F69</f>
        <v>0</v>
      </c>
      <c r="H72" s="704">
        <f>SC13DQ!G69</f>
        <v>0</v>
      </c>
      <c r="I72" s="34">
        <f t="shared" si="6"/>
        <v>0</v>
      </c>
      <c r="J72" s="189" t="str">
        <f t="shared" si="13"/>
        <v/>
      </c>
      <c r="K72" s="367">
        <f>SC13DQ!J69</f>
        <v>0</v>
      </c>
    </row>
    <row r="73" spans="1:11" ht="12.75" customHeight="1" x14ac:dyDescent="0.25">
      <c r="A73" s="606" t="s">
        <v>1122</v>
      </c>
      <c r="B73" s="90"/>
      <c r="C73" s="744">
        <f>SC13DQ!B70</f>
        <v>0</v>
      </c>
      <c r="D73" s="744">
        <f>SC13DQ!C70</f>
        <v>0</v>
      </c>
      <c r="E73" s="331">
        <f>SC13DQ!D70</f>
        <v>0</v>
      </c>
      <c r="F73" s="704">
        <f>SC13DQ!E70</f>
        <v>0</v>
      </c>
      <c r="G73" s="331">
        <f>SC13DQ!F70</f>
        <v>0</v>
      </c>
      <c r="H73" s="704">
        <f>SC13DQ!G70</f>
        <v>0</v>
      </c>
      <c r="I73" s="34">
        <f t="shared" si="6"/>
        <v>0</v>
      </c>
      <c r="J73" s="189" t="str">
        <f t="shared" si="13"/>
        <v/>
      </c>
      <c r="K73" s="367">
        <f>SC13DQ!J70</f>
        <v>0</v>
      </c>
    </row>
    <row r="74" spans="1:11" ht="5.25" customHeight="1" x14ac:dyDescent="0.25">
      <c r="A74" s="606"/>
      <c r="B74" s="90"/>
      <c r="C74" s="74"/>
      <c r="D74" s="489"/>
      <c r="E74" s="34"/>
      <c r="F74" s="33"/>
      <c r="G74" s="34"/>
      <c r="H74" s="33"/>
      <c r="I74" s="34"/>
      <c r="J74" s="189" t="str">
        <f t="shared" si="13"/>
        <v/>
      </c>
      <c r="K74" s="35"/>
    </row>
    <row r="75" spans="1:11" ht="12.75" customHeight="1" x14ac:dyDescent="0.25">
      <c r="A75" s="29" t="s">
        <v>1191</v>
      </c>
      <c r="B75" s="90"/>
      <c r="C75" s="220">
        <f t="shared" ref="C75:H75" si="14">+C76+C99</f>
        <v>22319017.130000003</v>
      </c>
      <c r="D75" s="737">
        <f t="shared" si="14"/>
        <v>20903700</v>
      </c>
      <c r="E75" s="221">
        <f t="shared" si="14"/>
        <v>26091646.34</v>
      </c>
      <c r="F75" s="737">
        <f t="shared" si="14"/>
        <v>2129050.0700000003</v>
      </c>
      <c r="G75" s="221">
        <f t="shared" si="14"/>
        <v>21541536.909999996</v>
      </c>
      <c r="H75" s="737">
        <f t="shared" si="14"/>
        <v>21634108.02</v>
      </c>
      <c r="I75" s="221">
        <f t="shared" si="1"/>
        <v>92571.110000003129</v>
      </c>
      <c r="J75" s="545">
        <f t="shared" si="13"/>
        <v>4.2789427654897662E-3</v>
      </c>
      <c r="K75" s="734">
        <f>+K76+K99</f>
        <v>26091646.34</v>
      </c>
    </row>
    <row r="76" spans="1:11" ht="12.75" customHeight="1" x14ac:dyDescent="0.25">
      <c r="A76" s="30" t="s">
        <v>1171</v>
      </c>
      <c r="B76" s="90"/>
      <c r="C76" s="74">
        <f t="shared" ref="C76:H76" si="15">SUM(C77:C98)</f>
        <v>10810547.060000001</v>
      </c>
      <c r="D76" s="489">
        <f t="shared" si="15"/>
        <v>10812200</v>
      </c>
      <c r="E76" s="34">
        <f t="shared" si="15"/>
        <v>12249064.43</v>
      </c>
      <c r="F76" s="33">
        <f t="shared" si="15"/>
        <v>996311.26</v>
      </c>
      <c r="G76" s="34">
        <f t="shared" si="15"/>
        <v>10063119.229999999</v>
      </c>
      <c r="H76" s="33">
        <f t="shared" si="15"/>
        <v>10131844.51</v>
      </c>
      <c r="I76" s="34">
        <f t="shared" si="1"/>
        <v>68725.280000001192</v>
      </c>
      <c r="J76" s="533">
        <f t="shared" si="13"/>
        <v>6.7830965953109747E-3</v>
      </c>
      <c r="K76" s="35">
        <f>SUM(K77:K98)</f>
        <v>12249064.43</v>
      </c>
    </row>
    <row r="77" spans="1:11" ht="12.75" customHeight="1" x14ac:dyDescent="0.25">
      <c r="A77" s="606" t="s">
        <v>1172</v>
      </c>
      <c r="B77" s="90"/>
      <c r="C77" s="744">
        <f>SC13DQ!B73</f>
        <v>2172170.0099999998</v>
      </c>
      <c r="D77" s="744">
        <f>SC13DQ!C73</f>
        <v>2522700</v>
      </c>
      <c r="E77" s="331">
        <f>SC13DQ!D73</f>
        <v>2606325.44</v>
      </c>
      <c r="F77" s="704">
        <f>SC13DQ!E73</f>
        <v>216161.32</v>
      </c>
      <c r="G77" s="331">
        <f>SC13DQ!F73</f>
        <v>2172761.92</v>
      </c>
      <c r="H77" s="704">
        <f>SC13DQ!G73</f>
        <v>2169575.7000000002</v>
      </c>
      <c r="I77" s="34">
        <f t="shared" ref="I77:I133" si="16">H77-G77</f>
        <v>-3186.2199999997392</v>
      </c>
      <c r="J77" s="189">
        <f t="shared" si="13"/>
        <v>-1.4685913010547356E-3</v>
      </c>
      <c r="K77" s="367">
        <f>SC13DQ!J73</f>
        <v>2606325.44</v>
      </c>
    </row>
    <row r="78" spans="1:11" ht="12.75" customHeight="1" x14ac:dyDescent="0.25">
      <c r="A78" s="606" t="s">
        <v>1173</v>
      </c>
      <c r="B78" s="90"/>
      <c r="C78" s="744">
        <f>SC13DQ!B74</f>
        <v>0</v>
      </c>
      <c r="D78" s="744">
        <f>SC13DQ!C74</f>
        <v>0</v>
      </c>
      <c r="E78" s="331">
        <f>SC13DQ!D74</f>
        <v>0</v>
      </c>
      <c r="F78" s="704">
        <f>SC13DQ!E74</f>
        <v>0</v>
      </c>
      <c r="G78" s="331">
        <f>SC13DQ!F74</f>
        <v>0</v>
      </c>
      <c r="H78" s="704">
        <f>SC13DQ!G74</f>
        <v>0</v>
      </c>
      <c r="I78" s="34">
        <f t="shared" si="16"/>
        <v>0</v>
      </c>
      <c r="J78" s="189" t="str">
        <f>IF(H78=0,"",I78/H78)</f>
        <v/>
      </c>
      <c r="K78" s="367">
        <f>SC13DQ!J74</f>
        <v>0</v>
      </c>
    </row>
    <row r="79" spans="1:11" ht="12.75" customHeight="1" x14ac:dyDescent="0.25">
      <c r="A79" s="606" t="s">
        <v>1174</v>
      </c>
      <c r="B79" s="90"/>
      <c r="C79" s="744">
        <f>SC13DQ!B75</f>
        <v>213903.53</v>
      </c>
      <c r="D79" s="744">
        <f>SC13DQ!C75</f>
        <v>214500</v>
      </c>
      <c r="E79" s="331">
        <f>SC13DQ!D75</f>
        <v>213903.71</v>
      </c>
      <c r="F79" s="704">
        <f>SC13DQ!E75</f>
        <v>17581.12</v>
      </c>
      <c r="G79" s="331">
        <f>SC13DQ!F75</f>
        <v>178155.31</v>
      </c>
      <c r="H79" s="704">
        <f>SC13DQ!G75</f>
        <v>178155.31</v>
      </c>
      <c r="I79" s="34">
        <f t="shared" si="16"/>
        <v>0</v>
      </c>
      <c r="J79" s="189" t="str">
        <f t="shared" si="13"/>
        <v/>
      </c>
      <c r="K79" s="367">
        <f>SC13DQ!J75</f>
        <v>213903.71</v>
      </c>
    </row>
    <row r="80" spans="1:11" ht="12.75" customHeight="1" x14ac:dyDescent="0.25">
      <c r="A80" s="606" t="s">
        <v>1175</v>
      </c>
      <c r="B80" s="90"/>
      <c r="C80" s="744">
        <f>SC13DQ!B76</f>
        <v>124958.81</v>
      </c>
      <c r="D80" s="744">
        <f>SC13DQ!C76</f>
        <v>120000</v>
      </c>
      <c r="E80" s="331">
        <f>SC13DQ!D76</f>
        <v>124959</v>
      </c>
      <c r="F80" s="704">
        <f>SC13DQ!E76</f>
        <v>10270.61</v>
      </c>
      <c r="G80" s="331">
        <f>SC13DQ!F76</f>
        <v>104075.29</v>
      </c>
      <c r="H80" s="704">
        <f>SC13DQ!G76</f>
        <v>104075.29</v>
      </c>
      <c r="I80" s="34">
        <f t="shared" si="16"/>
        <v>0</v>
      </c>
      <c r="J80" s="189" t="str">
        <f t="shared" si="13"/>
        <v/>
      </c>
      <c r="K80" s="367">
        <f>SC13DQ!J76</f>
        <v>124959</v>
      </c>
    </row>
    <row r="81" spans="1:11" ht="12.75" customHeight="1" x14ac:dyDescent="0.25">
      <c r="A81" s="606" t="s">
        <v>1176</v>
      </c>
      <c r="B81" s="90"/>
      <c r="C81" s="744">
        <f>SC13DQ!B77</f>
        <v>1157824.1499999999</v>
      </c>
      <c r="D81" s="744">
        <f>SC13DQ!C77</f>
        <v>1156000</v>
      </c>
      <c r="E81" s="331">
        <f>SC13DQ!D77</f>
        <v>1843171.42</v>
      </c>
      <c r="F81" s="704">
        <f>SC13DQ!E77</f>
        <v>151493.45000000001</v>
      </c>
      <c r="G81" s="331">
        <f>SC13DQ!F77</f>
        <v>1535134.4</v>
      </c>
      <c r="H81" s="704">
        <f>SC13DQ!G77</f>
        <v>1535134.4</v>
      </c>
      <c r="I81" s="34">
        <f t="shared" si="16"/>
        <v>0</v>
      </c>
      <c r="J81" s="189" t="str">
        <f t="shared" si="13"/>
        <v/>
      </c>
      <c r="K81" s="367">
        <f>SC13DQ!J77</f>
        <v>1843171.42</v>
      </c>
    </row>
    <row r="82" spans="1:11" ht="12.75" customHeight="1" x14ac:dyDescent="0.25">
      <c r="A82" s="606" t="s">
        <v>1177</v>
      </c>
      <c r="B82" s="90"/>
      <c r="C82" s="744">
        <f>SC13DQ!B78</f>
        <v>0</v>
      </c>
      <c r="D82" s="744">
        <f>SC13DQ!C78</f>
        <v>0</v>
      </c>
      <c r="E82" s="331">
        <f>SC13DQ!D78</f>
        <v>0</v>
      </c>
      <c r="F82" s="704">
        <f>SC13DQ!E78</f>
        <v>0</v>
      </c>
      <c r="G82" s="331">
        <f>SC13DQ!F78</f>
        <v>0</v>
      </c>
      <c r="H82" s="704">
        <f>SC13DQ!G78</f>
        <v>0</v>
      </c>
      <c r="I82" s="34">
        <f t="shared" si="16"/>
        <v>0</v>
      </c>
      <c r="J82" s="189" t="str">
        <f t="shared" si="13"/>
        <v/>
      </c>
      <c r="K82" s="367">
        <f>SC13DQ!J78</f>
        <v>0</v>
      </c>
    </row>
    <row r="83" spans="1:11" ht="12.75" customHeight="1" x14ac:dyDescent="0.25">
      <c r="A83" s="606" t="s">
        <v>1178</v>
      </c>
      <c r="B83" s="90"/>
      <c r="C83" s="744">
        <f>SC13DQ!B79</f>
        <v>0</v>
      </c>
      <c r="D83" s="744">
        <f>SC13DQ!C79</f>
        <v>0</v>
      </c>
      <c r="E83" s="331">
        <f>SC13DQ!D79</f>
        <v>0</v>
      </c>
      <c r="F83" s="704">
        <f>SC13DQ!E79</f>
        <v>0</v>
      </c>
      <c r="G83" s="331">
        <f>SC13DQ!F79</f>
        <v>0</v>
      </c>
      <c r="H83" s="704">
        <f>SC13DQ!G79</f>
        <v>0</v>
      </c>
      <c r="I83" s="34">
        <f t="shared" si="16"/>
        <v>0</v>
      </c>
      <c r="J83" s="189" t="str">
        <f t="shared" si="13"/>
        <v/>
      </c>
      <c r="K83" s="367">
        <f>SC13DQ!J79</f>
        <v>0</v>
      </c>
    </row>
    <row r="84" spans="1:11" ht="12.75" customHeight="1" x14ac:dyDescent="0.25">
      <c r="A84" s="606" t="s">
        <v>1179</v>
      </c>
      <c r="B84" s="90"/>
      <c r="C84" s="744">
        <f>SC13DQ!B80</f>
        <v>0</v>
      </c>
      <c r="D84" s="744">
        <f>SC13DQ!C80</f>
        <v>0</v>
      </c>
      <c r="E84" s="331">
        <f>SC13DQ!D80</f>
        <v>0</v>
      </c>
      <c r="F84" s="704">
        <f>SC13DQ!E80</f>
        <v>0</v>
      </c>
      <c r="G84" s="331">
        <f>SC13DQ!F80</f>
        <v>0</v>
      </c>
      <c r="H84" s="704">
        <f>SC13DQ!G80</f>
        <v>0</v>
      </c>
      <c r="I84" s="34">
        <f t="shared" si="16"/>
        <v>0</v>
      </c>
      <c r="J84" s="189" t="str">
        <f t="shared" si="13"/>
        <v/>
      </c>
      <c r="K84" s="367">
        <f>SC13DQ!J80</f>
        <v>0</v>
      </c>
    </row>
    <row r="85" spans="1:11" ht="12.75" customHeight="1" x14ac:dyDescent="0.25">
      <c r="A85" s="606" t="s">
        <v>1055</v>
      </c>
      <c r="B85" s="90"/>
      <c r="C85" s="744">
        <f>SC13DQ!B81</f>
        <v>0</v>
      </c>
      <c r="D85" s="744">
        <f>SC13DQ!C81</f>
        <v>0</v>
      </c>
      <c r="E85" s="331">
        <f>SC13DQ!D81</f>
        <v>0</v>
      </c>
      <c r="F85" s="704">
        <f>SC13DQ!E81</f>
        <v>0</v>
      </c>
      <c r="G85" s="331">
        <f>SC13DQ!F81</f>
        <v>0</v>
      </c>
      <c r="H85" s="704">
        <f>SC13DQ!G81</f>
        <v>0</v>
      </c>
      <c r="I85" s="34">
        <f t="shared" si="16"/>
        <v>0</v>
      </c>
      <c r="J85" s="189" t="str">
        <f t="shared" si="13"/>
        <v/>
      </c>
      <c r="K85" s="367">
        <f>SC13DQ!J81</f>
        <v>0</v>
      </c>
    </row>
    <row r="86" spans="1:11" ht="12.75" customHeight="1" x14ac:dyDescent="0.25">
      <c r="A86" s="606" t="s">
        <v>508</v>
      </c>
      <c r="B86" s="90"/>
      <c r="C86" s="744">
        <f>SC13DQ!B82</f>
        <v>885725.62</v>
      </c>
      <c r="D86" s="744">
        <f>SC13DQ!C82</f>
        <v>907100</v>
      </c>
      <c r="E86" s="331">
        <f>SC13DQ!D82</f>
        <v>980768.97</v>
      </c>
      <c r="F86" s="704">
        <f>SC13DQ!E82</f>
        <v>80611.09</v>
      </c>
      <c r="G86" s="331">
        <f>SC13DQ!F82</f>
        <v>816859.51</v>
      </c>
      <c r="H86" s="704">
        <f>SC13DQ!G82</f>
        <v>816859.51</v>
      </c>
      <c r="I86" s="34">
        <f t="shared" si="16"/>
        <v>0</v>
      </c>
      <c r="J86" s="189" t="str">
        <f t="shared" si="13"/>
        <v/>
      </c>
      <c r="K86" s="367">
        <f>SC13DQ!J82</f>
        <v>980768.97</v>
      </c>
    </row>
    <row r="87" spans="1:11" ht="12.75" customHeight="1" x14ac:dyDescent="0.25">
      <c r="A87" s="606" t="s">
        <v>1180</v>
      </c>
      <c r="B87" s="90"/>
      <c r="C87" s="744">
        <f>SC13DQ!B83</f>
        <v>753264.08</v>
      </c>
      <c r="D87" s="744">
        <f>SC13DQ!C83</f>
        <v>768900</v>
      </c>
      <c r="E87" s="331">
        <f>SC13DQ!D83</f>
        <v>759638.38</v>
      </c>
      <c r="F87" s="704">
        <f>SC13DQ!E83</f>
        <v>64197.29</v>
      </c>
      <c r="G87" s="331">
        <f>SC13DQ!F83</f>
        <v>635369.32999999996</v>
      </c>
      <c r="H87" s="704">
        <f>SC13DQ!G83</f>
        <v>631729.88</v>
      </c>
      <c r="I87" s="34">
        <f t="shared" si="16"/>
        <v>-3639.4499999999534</v>
      </c>
      <c r="J87" s="189">
        <f t="shared" si="13"/>
        <v>-5.7610857349346106E-3</v>
      </c>
      <c r="K87" s="367">
        <f>SC13DQ!J83</f>
        <v>759638.38</v>
      </c>
    </row>
    <row r="88" spans="1:11" ht="12.75" customHeight="1" x14ac:dyDescent="0.25">
      <c r="A88" s="606" t="s">
        <v>148</v>
      </c>
      <c r="B88" s="90"/>
      <c r="C88" s="744">
        <f>SC13DQ!B84</f>
        <v>0</v>
      </c>
      <c r="D88" s="744">
        <f>SC13DQ!C84</f>
        <v>0</v>
      </c>
      <c r="E88" s="331">
        <f>SC13DQ!D84</f>
        <v>0</v>
      </c>
      <c r="F88" s="704">
        <f>SC13DQ!E84</f>
        <v>0</v>
      </c>
      <c r="G88" s="331">
        <f>SC13DQ!F84</f>
        <v>0</v>
      </c>
      <c r="H88" s="704">
        <f>SC13DQ!G84</f>
        <v>0</v>
      </c>
      <c r="I88" s="34">
        <f t="shared" si="16"/>
        <v>0</v>
      </c>
      <c r="J88" s="189" t="str">
        <f t="shared" si="13"/>
        <v/>
      </c>
      <c r="K88" s="367">
        <f>SC13DQ!J84</f>
        <v>0</v>
      </c>
    </row>
    <row r="89" spans="1:11" ht="12.75" customHeight="1" x14ac:dyDescent="0.25">
      <c r="A89" s="606" t="s">
        <v>1181</v>
      </c>
      <c r="B89" s="90"/>
      <c r="C89" s="744">
        <f>SC13DQ!B85</f>
        <v>2481610.08</v>
      </c>
      <c r="D89" s="744">
        <f>SC13DQ!C85</f>
        <v>2250900</v>
      </c>
      <c r="E89" s="331">
        <f>SC13DQ!D85</f>
        <v>2480441.31</v>
      </c>
      <c r="F89" s="704">
        <f>SC13DQ!E85</f>
        <v>203871.99</v>
      </c>
      <c r="G89" s="331">
        <f>SC13DQ!F85</f>
        <v>2065901.77</v>
      </c>
      <c r="H89" s="704">
        <f>SC13DQ!G85</f>
        <v>2065901.77</v>
      </c>
      <c r="I89" s="34">
        <f t="shared" si="16"/>
        <v>0</v>
      </c>
      <c r="J89" s="189" t="str">
        <f t="shared" si="13"/>
        <v/>
      </c>
      <c r="K89" s="367">
        <f>SC13DQ!J85</f>
        <v>2480441.31</v>
      </c>
    </row>
    <row r="90" spans="1:11" ht="12.75" customHeight="1" x14ac:dyDescent="0.25">
      <c r="A90" s="606" t="s">
        <v>1182</v>
      </c>
      <c r="B90" s="90"/>
      <c r="C90" s="744">
        <f>SC13DQ!B86</f>
        <v>0</v>
      </c>
      <c r="D90" s="744">
        <f>SC13DQ!C86</f>
        <v>0</v>
      </c>
      <c r="E90" s="331">
        <f>SC13DQ!D86</f>
        <v>0</v>
      </c>
      <c r="F90" s="704">
        <f>SC13DQ!E86</f>
        <v>0</v>
      </c>
      <c r="G90" s="331">
        <f>SC13DQ!F86</f>
        <v>0</v>
      </c>
      <c r="H90" s="704">
        <f>SC13DQ!G86</f>
        <v>0</v>
      </c>
      <c r="I90" s="34">
        <f t="shared" si="16"/>
        <v>0</v>
      </c>
      <c r="J90" s="189" t="str">
        <f t="shared" si="13"/>
        <v/>
      </c>
      <c r="K90" s="367">
        <f>SC13DQ!J86</f>
        <v>0</v>
      </c>
    </row>
    <row r="91" spans="1:11" ht="12.75" customHeight="1" x14ac:dyDescent="0.25">
      <c r="A91" s="606" t="s">
        <v>1183</v>
      </c>
      <c r="B91" s="90"/>
      <c r="C91" s="744">
        <f>SC13DQ!B87</f>
        <v>0</v>
      </c>
      <c r="D91" s="744">
        <f>SC13DQ!C87</f>
        <v>0</v>
      </c>
      <c r="E91" s="331">
        <f>SC13DQ!D87</f>
        <v>0</v>
      </c>
      <c r="F91" s="704">
        <f>SC13DQ!E87</f>
        <v>0</v>
      </c>
      <c r="G91" s="331">
        <f>SC13DQ!F87</f>
        <v>0</v>
      </c>
      <c r="H91" s="704">
        <f>SC13DQ!G87</f>
        <v>0</v>
      </c>
      <c r="I91" s="34">
        <f t="shared" si="16"/>
        <v>0</v>
      </c>
      <c r="J91" s="189" t="str">
        <f t="shared" si="13"/>
        <v/>
      </c>
      <c r="K91" s="367">
        <f>SC13DQ!J87</f>
        <v>0</v>
      </c>
    </row>
    <row r="92" spans="1:11" ht="12.75" customHeight="1" x14ac:dyDescent="0.25">
      <c r="A92" s="606" t="s">
        <v>1184</v>
      </c>
      <c r="B92" s="90"/>
      <c r="C92" s="744">
        <f>SC13DQ!B88</f>
        <v>353898.4</v>
      </c>
      <c r="D92" s="744">
        <f>SC13DQ!C88</f>
        <v>353900</v>
      </c>
      <c r="E92" s="331">
        <f>SC13DQ!D88</f>
        <v>353898.54</v>
      </c>
      <c r="F92" s="704">
        <f>SC13DQ!E88</f>
        <v>29087.39</v>
      </c>
      <c r="G92" s="331">
        <f>SC13DQ!F88</f>
        <v>294753.59000000003</v>
      </c>
      <c r="H92" s="704">
        <f>SC13DQ!G88</f>
        <v>294753.59000000003</v>
      </c>
      <c r="I92" s="34">
        <f t="shared" si="16"/>
        <v>0</v>
      </c>
      <c r="J92" s="189" t="str">
        <f t="shared" si="13"/>
        <v/>
      </c>
      <c r="K92" s="367">
        <f>SC13DQ!J88</f>
        <v>353898.54</v>
      </c>
    </row>
    <row r="93" spans="1:11" ht="12.75" customHeight="1" x14ac:dyDescent="0.25">
      <c r="A93" s="606" t="s">
        <v>402</v>
      </c>
      <c r="B93" s="90"/>
      <c r="C93" s="744">
        <f>SC13DQ!B89</f>
        <v>0</v>
      </c>
      <c r="D93" s="744">
        <f>SC13DQ!C89</f>
        <v>0</v>
      </c>
      <c r="E93" s="331">
        <f>SC13DQ!D89</f>
        <v>0</v>
      </c>
      <c r="F93" s="704">
        <f>SC13DQ!E89</f>
        <v>0</v>
      </c>
      <c r="G93" s="331">
        <f>SC13DQ!F89</f>
        <v>0</v>
      </c>
      <c r="H93" s="704">
        <f>SC13DQ!G89</f>
        <v>0</v>
      </c>
      <c r="I93" s="34">
        <f t="shared" si="16"/>
        <v>0</v>
      </c>
      <c r="J93" s="189" t="str">
        <f t="shared" si="13"/>
        <v/>
      </c>
      <c r="K93" s="367">
        <f>SC13DQ!J89</f>
        <v>0</v>
      </c>
    </row>
    <row r="94" spans="1:11" ht="12.75" customHeight="1" x14ac:dyDescent="0.25">
      <c r="A94" s="606" t="s">
        <v>1185</v>
      </c>
      <c r="B94" s="90"/>
      <c r="C94" s="744">
        <f>SC13DQ!B90</f>
        <v>0</v>
      </c>
      <c r="D94" s="744">
        <f>SC13DQ!C90</f>
        <v>2100</v>
      </c>
      <c r="E94" s="331">
        <f>SC13DQ!D90</f>
        <v>44329.46</v>
      </c>
      <c r="F94" s="704">
        <f>SC13DQ!E90</f>
        <v>0</v>
      </c>
      <c r="G94" s="331">
        <f>SC13DQ!F90</f>
        <v>0</v>
      </c>
      <c r="H94" s="704">
        <f>SC13DQ!G90</f>
        <v>21664.44</v>
      </c>
      <c r="I94" s="34">
        <f t="shared" si="16"/>
        <v>21664.44</v>
      </c>
      <c r="J94" s="189">
        <f t="shared" si="13"/>
        <v>1</v>
      </c>
      <c r="K94" s="367">
        <f>SC13DQ!J90</f>
        <v>44329.46</v>
      </c>
    </row>
    <row r="95" spans="1:11" ht="12.75" customHeight="1" x14ac:dyDescent="0.25">
      <c r="A95" s="606" t="s">
        <v>401</v>
      </c>
      <c r="B95" s="90"/>
      <c r="C95" s="744">
        <f>SC13DQ!B91</f>
        <v>0</v>
      </c>
      <c r="D95" s="744">
        <f>SC13DQ!C91</f>
        <v>0</v>
      </c>
      <c r="E95" s="331">
        <f>SC13DQ!D91</f>
        <v>0</v>
      </c>
      <c r="F95" s="704">
        <f>SC13DQ!E91</f>
        <v>0</v>
      </c>
      <c r="G95" s="331">
        <f>SC13DQ!F91</f>
        <v>0</v>
      </c>
      <c r="H95" s="704">
        <f>SC13DQ!G91</f>
        <v>0</v>
      </c>
      <c r="I95" s="34">
        <f t="shared" si="16"/>
        <v>0</v>
      </c>
      <c r="J95" s="189" t="str">
        <f t="shared" si="13"/>
        <v/>
      </c>
      <c r="K95" s="367">
        <f>SC13DQ!J91</f>
        <v>0</v>
      </c>
    </row>
    <row r="96" spans="1:11" ht="12.75" customHeight="1" x14ac:dyDescent="0.25">
      <c r="A96" s="606" t="s">
        <v>1186</v>
      </c>
      <c r="B96" s="90"/>
      <c r="C96" s="744">
        <f>SC13DQ!B92</f>
        <v>47473.86</v>
      </c>
      <c r="D96" s="744">
        <f>SC13DQ!C92</f>
        <v>114400</v>
      </c>
      <c r="E96" s="331">
        <f>SC13DQ!D92</f>
        <v>114385.76</v>
      </c>
      <c r="F96" s="704">
        <f>SC13DQ!E92</f>
        <v>3901.95</v>
      </c>
      <c r="G96" s="331">
        <f>SC13DQ!F92</f>
        <v>39539.85</v>
      </c>
      <c r="H96" s="704">
        <f>SC13DQ!G92</f>
        <v>68216.31</v>
      </c>
      <c r="I96" s="34">
        <f t="shared" si="16"/>
        <v>28676.46</v>
      </c>
      <c r="J96" s="189">
        <f t="shared" si="13"/>
        <v>0.42037542048228643</v>
      </c>
      <c r="K96" s="367">
        <f>SC13DQ!J92</f>
        <v>114385.76</v>
      </c>
    </row>
    <row r="97" spans="1:11" ht="12.75" customHeight="1" x14ac:dyDescent="0.25">
      <c r="A97" s="606" t="s">
        <v>1187</v>
      </c>
      <c r="B97" s="90"/>
      <c r="C97" s="744">
        <f>SC13DQ!B93</f>
        <v>2619718.52</v>
      </c>
      <c r="D97" s="744">
        <f>SC13DQ!C93</f>
        <v>2401700</v>
      </c>
      <c r="E97" s="331">
        <f>SC13DQ!D93</f>
        <v>2727242.44</v>
      </c>
      <c r="F97" s="704">
        <f>SC13DQ!E93</f>
        <v>219135.05</v>
      </c>
      <c r="G97" s="331">
        <f>SC13DQ!F93</f>
        <v>2220568.2599999998</v>
      </c>
      <c r="H97" s="704">
        <f>SC13DQ!G93</f>
        <v>2245778.31</v>
      </c>
      <c r="I97" s="34">
        <f t="shared" si="16"/>
        <v>25210.050000000279</v>
      </c>
      <c r="J97" s="189">
        <f t="shared" si="13"/>
        <v>1.1225529201945262E-2</v>
      </c>
      <c r="K97" s="367">
        <f>SC13DQ!J93</f>
        <v>2727242.44</v>
      </c>
    </row>
    <row r="98" spans="1:11" ht="12.75" customHeight="1" x14ac:dyDescent="0.25">
      <c r="A98" s="606" t="s">
        <v>1122</v>
      </c>
      <c r="B98" s="90"/>
      <c r="C98" s="744">
        <f>SC13DQ!B94</f>
        <v>0</v>
      </c>
      <c r="D98" s="744">
        <f>SC13DQ!C94</f>
        <v>0</v>
      </c>
      <c r="E98" s="331">
        <f>SC13DQ!D94</f>
        <v>0</v>
      </c>
      <c r="F98" s="704">
        <f>SC13DQ!E94</f>
        <v>0</v>
      </c>
      <c r="G98" s="331">
        <f>SC13DQ!F94</f>
        <v>0</v>
      </c>
      <c r="H98" s="704">
        <f>SC13DQ!G94</f>
        <v>0</v>
      </c>
      <c r="I98" s="34">
        <f t="shared" si="16"/>
        <v>0</v>
      </c>
      <c r="J98" s="189" t="str">
        <f t="shared" si="13"/>
        <v/>
      </c>
      <c r="K98" s="367">
        <f>SC13DQ!J94</f>
        <v>0</v>
      </c>
    </row>
    <row r="99" spans="1:11" ht="12.75" customHeight="1" x14ac:dyDescent="0.25">
      <c r="A99" s="30" t="s">
        <v>1188</v>
      </c>
      <c r="B99" s="90"/>
      <c r="C99" s="74">
        <f t="shared" ref="C99:H99" si="17">SUM(C100:C102)</f>
        <v>11508470.07</v>
      </c>
      <c r="D99" s="489">
        <f t="shared" si="17"/>
        <v>10091500</v>
      </c>
      <c r="E99" s="34">
        <f t="shared" si="17"/>
        <v>13842581.91</v>
      </c>
      <c r="F99" s="33">
        <f t="shared" si="17"/>
        <v>1132738.81</v>
      </c>
      <c r="G99" s="34">
        <f t="shared" si="17"/>
        <v>11478417.68</v>
      </c>
      <c r="H99" s="33">
        <f t="shared" si="17"/>
        <v>11502263.51</v>
      </c>
      <c r="I99" s="34">
        <f t="shared" si="16"/>
        <v>23845.830000000075</v>
      </c>
      <c r="J99" s="189">
        <f t="shared" si="13"/>
        <v>2.0731423844766424E-3</v>
      </c>
      <c r="K99" s="35">
        <f>SUM(K100:K102)</f>
        <v>13842581.91</v>
      </c>
    </row>
    <row r="100" spans="1:11" ht="12.75" customHeight="1" x14ac:dyDescent="0.25">
      <c r="A100" s="606" t="s">
        <v>1189</v>
      </c>
      <c r="B100" s="90"/>
      <c r="C100" s="744">
        <f>SC13DQ!B96</f>
        <v>0</v>
      </c>
      <c r="D100" s="744">
        <f>SC13DQ!C96</f>
        <v>0</v>
      </c>
      <c r="E100" s="331">
        <f>SC13DQ!D96</f>
        <v>0</v>
      </c>
      <c r="F100" s="704">
        <f>SC13DQ!E96</f>
        <v>0</v>
      </c>
      <c r="G100" s="331">
        <f>SC13DQ!F96</f>
        <v>0</v>
      </c>
      <c r="H100" s="704">
        <f>SC13DQ!G96</f>
        <v>0</v>
      </c>
      <c r="I100" s="34">
        <f t="shared" si="16"/>
        <v>0</v>
      </c>
      <c r="J100" s="189" t="str">
        <f>IF(H100=0,"",I100/H100)</f>
        <v/>
      </c>
      <c r="K100" s="367">
        <f>SC13DQ!J96</f>
        <v>0</v>
      </c>
    </row>
    <row r="101" spans="1:11" ht="12.75" customHeight="1" x14ac:dyDescent="0.25">
      <c r="A101" s="606" t="s">
        <v>1190</v>
      </c>
      <c r="B101" s="90"/>
      <c r="C101" s="744">
        <f>SC13DQ!B97</f>
        <v>11508470.07</v>
      </c>
      <c r="D101" s="744">
        <f>SC13DQ!C97</f>
        <v>10091500</v>
      </c>
      <c r="E101" s="331">
        <f>SC13DQ!D97</f>
        <v>13842581.91</v>
      </c>
      <c r="F101" s="704">
        <f>SC13DQ!E97</f>
        <v>1132738.81</v>
      </c>
      <c r="G101" s="331">
        <f>SC13DQ!F97</f>
        <v>11478417.68</v>
      </c>
      <c r="H101" s="704">
        <f>SC13DQ!G97</f>
        <v>11502263.51</v>
      </c>
      <c r="I101" s="34">
        <f t="shared" si="16"/>
        <v>23845.830000000075</v>
      </c>
      <c r="J101" s="189">
        <f t="shared" si="13"/>
        <v>2.0731423844766424E-3</v>
      </c>
      <c r="K101" s="367">
        <f>SC13DQ!J97</f>
        <v>13842581.91</v>
      </c>
    </row>
    <row r="102" spans="1:11" ht="12.75" customHeight="1" x14ac:dyDescent="0.25">
      <c r="A102" s="606" t="s">
        <v>1122</v>
      </c>
      <c r="B102" s="90"/>
      <c r="C102" s="744">
        <f>SC13DQ!B98</f>
        <v>0</v>
      </c>
      <c r="D102" s="744">
        <f>SC13DQ!C98</f>
        <v>0</v>
      </c>
      <c r="E102" s="331">
        <f>SC13DQ!D98</f>
        <v>0</v>
      </c>
      <c r="F102" s="704">
        <f>SC13DQ!E98</f>
        <v>0</v>
      </c>
      <c r="G102" s="331">
        <f>SC13DQ!F98</f>
        <v>0</v>
      </c>
      <c r="H102" s="704">
        <f>SC13DQ!G98</f>
        <v>0</v>
      </c>
      <c r="I102" s="34">
        <f t="shared" si="16"/>
        <v>0</v>
      </c>
      <c r="J102" s="189" t="str">
        <f t="shared" si="13"/>
        <v/>
      </c>
      <c r="K102" s="367">
        <f>SC13DQ!J98</f>
        <v>0</v>
      </c>
    </row>
    <row r="103" spans="1:11" ht="12.75" customHeight="1" x14ac:dyDescent="0.25">
      <c r="A103" s="29" t="s">
        <v>618</v>
      </c>
      <c r="B103" s="90"/>
      <c r="C103" s="142">
        <f t="shared" ref="C103:H103" si="18">SUM(C104:C108)</f>
        <v>0</v>
      </c>
      <c r="D103" s="738">
        <f t="shared" si="18"/>
        <v>0</v>
      </c>
      <c r="E103" s="65">
        <f t="shared" si="18"/>
        <v>0</v>
      </c>
      <c r="F103" s="738">
        <f t="shared" si="18"/>
        <v>0</v>
      </c>
      <c r="G103" s="65">
        <f t="shared" si="18"/>
        <v>0</v>
      </c>
      <c r="H103" s="738">
        <f t="shared" si="18"/>
        <v>0</v>
      </c>
      <c r="I103" s="65">
        <f t="shared" si="16"/>
        <v>0</v>
      </c>
      <c r="J103" s="545" t="str">
        <f t="shared" si="13"/>
        <v/>
      </c>
      <c r="K103" s="740">
        <f>SUM(K104:K108)</f>
        <v>0</v>
      </c>
    </row>
    <row r="104" spans="1:11" ht="12.75" customHeight="1" x14ac:dyDescent="0.25">
      <c r="A104" s="30" t="s">
        <v>1192</v>
      </c>
      <c r="B104" s="90"/>
      <c r="C104" s="745">
        <f>SC13DQ!B101</f>
        <v>0</v>
      </c>
      <c r="D104" s="745">
        <f>SC13DQ!C100</f>
        <v>0</v>
      </c>
      <c r="E104" s="540">
        <f>SC13DQ!D100</f>
        <v>0</v>
      </c>
      <c r="F104" s="739">
        <f>SC13DQ!E100</f>
        <v>0</v>
      </c>
      <c r="G104" s="540">
        <f>SC13DQ!F100</f>
        <v>0</v>
      </c>
      <c r="H104" s="739">
        <f>SC13DQ!G100</f>
        <v>0</v>
      </c>
      <c r="I104" s="34">
        <f t="shared" si="16"/>
        <v>0</v>
      </c>
      <c r="J104" s="189" t="str">
        <f t="shared" si="13"/>
        <v/>
      </c>
      <c r="K104" s="735">
        <f>SC13DQ!J100</f>
        <v>0</v>
      </c>
    </row>
    <row r="105" spans="1:11" ht="12.75" customHeight="1" x14ac:dyDescent="0.25">
      <c r="A105" s="30" t="s">
        <v>1193</v>
      </c>
      <c r="B105" s="90"/>
      <c r="C105" s="745">
        <f>SC13DQ!B103</f>
        <v>0</v>
      </c>
      <c r="D105" s="745">
        <f>SC13DQ!C101</f>
        <v>0</v>
      </c>
      <c r="E105" s="540">
        <f>SC13DQ!D101</f>
        <v>0</v>
      </c>
      <c r="F105" s="739">
        <f>SC13DQ!E101</f>
        <v>0</v>
      </c>
      <c r="G105" s="540">
        <f>SC13DQ!F101</f>
        <v>0</v>
      </c>
      <c r="H105" s="739">
        <f>SC13DQ!G101</f>
        <v>0</v>
      </c>
      <c r="I105" s="34">
        <f t="shared" si="16"/>
        <v>0</v>
      </c>
      <c r="J105" s="189" t="str">
        <f t="shared" si="13"/>
        <v/>
      </c>
      <c r="K105" s="735">
        <f>SC13DQ!J101</f>
        <v>0</v>
      </c>
    </row>
    <row r="106" spans="1:11" ht="12.75" customHeight="1" x14ac:dyDescent="0.25">
      <c r="A106" s="30" t="s">
        <v>1194</v>
      </c>
      <c r="B106" s="90"/>
      <c r="C106" s="745">
        <f>SC13DQ!B105</f>
        <v>0</v>
      </c>
      <c r="D106" s="745">
        <f>SC13DQ!C102</f>
        <v>0</v>
      </c>
      <c r="E106" s="540">
        <f>SC13DQ!D102</f>
        <v>0</v>
      </c>
      <c r="F106" s="739">
        <f>SC13DQ!E102</f>
        <v>0</v>
      </c>
      <c r="G106" s="540">
        <f>SC13DQ!F102</f>
        <v>0</v>
      </c>
      <c r="H106" s="739">
        <f>SC13DQ!G102</f>
        <v>0</v>
      </c>
      <c r="I106" s="34">
        <f t="shared" si="16"/>
        <v>0</v>
      </c>
      <c r="J106" s="189" t="str">
        <f t="shared" si="13"/>
        <v/>
      </c>
      <c r="K106" s="735">
        <f>SC13DQ!J102</f>
        <v>0</v>
      </c>
    </row>
    <row r="107" spans="1:11" ht="12.75" customHeight="1" x14ac:dyDescent="0.25">
      <c r="A107" s="30" t="s">
        <v>1195</v>
      </c>
      <c r="B107" s="90"/>
      <c r="C107" s="745">
        <f>SC13DQ!B107</f>
        <v>0</v>
      </c>
      <c r="D107" s="745">
        <f>SC13DQ!C103</f>
        <v>0</v>
      </c>
      <c r="E107" s="540">
        <f>SC13DQ!D103</f>
        <v>0</v>
      </c>
      <c r="F107" s="739">
        <f>SC13DQ!E103</f>
        <v>0</v>
      </c>
      <c r="G107" s="540">
        <f>SC13DQ!F103</f>
        <v>0</v>
      </c>
      <c r="H107" s="739">
        <f>SC13DQ!G103</f>
        <v>0</v>
      </c>
      <c r="I107" s="34">
        <f t="shared" si="16"/>
        <v>0</v>
      </c>
      <c r="J107" s="189" t="str">
        <f t="shared" si="13"/>
        <v/>
      </c>
      <c r="K107" s="735">
        <f>SC13DQ!J103</f>
        <v>0</v>
      </c>
    </row>
    <row r="108" spans="1:11" ht="12.75" customHeight="1" x14ac:dyDescent="0.25">
      <c r="A108" s="30" t="s">
        <v>1196</v>
      </c>
      <c r="B108" s="90"/>
      <c r="C108" s="745">
        <f>SC13DQ!B109</f>
        <v>0</v>
      </c>
      <c r="D108" s="745">
        <f>SC13DQ!C104</f>
        <v>0</v>
      </c>
      <c r="E108" s="540">
        <f>SC13DQ!D104</f>
        <v>0</v>
      </c>
      <c r="F108" s="739">
        <f>SC13DQ!E104</f>
        <v>0</v>
      </c>
      <c r="G108" s="540">
        <f>SC13DQ!F104</f>
        <v>0</v>
      </c>
      <c r="H108" s="739">
        <f>SC13DQ!G104</f>
        <v>0</v>
      </c>
      <c r="I108" s="34">
        <f t="shared" si="16"/>
        <v>0</v>
      </c>
      <c r="J108" s="189" t="str">
        <f t="shared" si="13"/>
        <v/>
      </c>
      <c r="K108" s="735">
        <f>SC13DQ!J104</f>
        <v>0</v>
      </c>
    </row>
    <row r="109" spans="1:11" ht="5.0999999999999996" customHeight="1" x14ac:dyDescent="0.25">
      <c r="A109" s="32"/>
      <c r="B109" s="90"/>
      <c r="C109" s="74"/>
      <c r="D109" s="33"/>
      <c r="E109" s="34"/>
      <c r="F109" s="33"/>
      <c r="G109" s="34"/>
      <c r="H109" s="33"/>
      <c r="I109" s="34">
        <f t="shared" si="16"/>
        <v>0</v>
      </c>
      <c r="J109" s="189" t="str">
        <f t="shared" si="13"/>
        <v/>
      </c>
      <c r="K109" s="35"/>
    </row>
    <row r="110" spans="1:11" ht="12.75" customHeight="1" x14ac:dyDescent="0.25">
      <c r="A110" s="29" t="s">
        <v>619</v>
      </c>
      <c r="B110" s="340"/>
      <c r="C110" s="220">
        <f t="shared" ref="C110:H110" si="19">+C111+C114</f>
        <v>592696.67000000004</v>
      </c>
      <c r="D110" s="737">
        <f t="shared" si="19"/>
        <v>406900</v>
      </c>
      <c r="E110" s="221">
        <f t="shared" si="19"/>
        <v>1762365.3</v>
      </c>
      <c r="F110" s="298">
        <f t="shared" si="19"/>
        <v>140976.84</v>
      </c>
      <c r="G110" s="221">
        <f t="shared" si="19"/>
        <v>1428563.36</v>
      </c>
      <c r="H110" s="737">
        <f t="shared" si="19"/>
        <v>1447155.18</v>
      </c>
      <c r="I110" s="65">
        <f t="shared" si="16"/>
        <v>18591.819999999832</v>
      </c>
      <c r="J110" s="545">
        <f t="shared" si="13"/>
        <v>1.2847150227524206E-2</v>
      </c>
      <c r="K110" s="734">
        <f>+K111+K114</f>
        <v>1762365.3</v>
      </c>
    </row>
    <row r="111" spans="1:11" ht="12.75" customHeight="1" x14ac:dyDescent="0.25">
      <c r="A111" s="30" t="s">
        <v>1197</v>
      </c>
      <c r="B111" s="90"/>
      <c r="C111" s="74">
        <f t="shared" ref="C111:H111" si="20">SUM(C112:C113)</f>
        <v>592696.67000000004</v>
      </c>
      <c r="D111" s="489">
        <f t="shared" si="20"/>
        <v>406900</v>
      </c>
      <c r="E111" s="34">
        <f t="shared" si="20"/>
        <v>1762365.3</v>
      </c>
      <c r="F111" s="33">
        <f t="shared" si="20"/>
        <v>140976.84</v>
      </c>
      <c r="G111" s="34">
        <f t="shared" si="20"/>
        <v>1428563.36</v>
      </c>
      <c r="H111" s="33">
        <f t="shared" si="20"/>
        <v>1447155.18</v>
      </c>
      <c r="I111" s="34">
        <f t="shared" si="16"/>
        <v>18591.819999999832</v>
      </c>
      <c r="J111" s="189">
        <f t="shared" si="13"/>
        <v>1.2847150227524206E-2</v>
      </c>
      <c r="K111" s="35">
        <f>SUM(K112:K113)</f>
        <v>1762365.3</v>
      </c>
    </row>
    <row r="112" spans="1:11" ht="12.75" customHeight="1" x14ac:dyDescent="0.25">
      <c r="A112" s="606" t="s">
        <v>1198</v>
      </c>
      <c r="B112" s="90"/>
      <c r="C112" s="744">
        <f>SC13DQ!B112</f>
        <v>592696.67000000004</v>
      </c>
      <c r="D112" s="744">
        <f>SC13DQ!C112</f>
        <v>406900</v>
      </c>
      <c r="E112" s="331">
        <f>SC13DQ!D112</f>
        <v>1762365.3</v>
      </c>
      <c r="F112" s="704">
        <f>SC13DQ!E112</f>
        <v>140976.84</v>
      </c>
      <c r="G112" s="331">
        <f>SC13DQ!F112</f>
        <v>1428563.36</v>
      </c>
      <c r="H112" s="704">
        <f>SC13DQ!G112</f>
        <v>1447155.18</v>
      </c>
      <c r="I112" s="34">
        <f t="shared" si="16"/>
        <v>18591.819999999832</v>
      </c>
      <c r="J112" s="189">
        <f t="shared" si="13"/>
        <v>1.2847150227524206E-2</v>
      </c>
      <c r="K112" s="367">
        <f>SC13DQ!J112</f>
        <v>1762365.3</v>
      </c>
    </row>
    <row r="113" spans="1:11" ht="12.75" customHeight="1" x14ac:dyDescent="0.25">
      <c r="A113" s="606" t="s">
        <v>1199</v>
      </c>
      <c r="B113" s="90"/>
      <c r="C113" s="744">
        <f>SC13DQ!B113</f>
        <v>0</v>
      </c>
      <c r="D113" s="744">
        <f>SC13DQ!C113</f>
        <v>0</v>
      </c>
      <c r="E113" s="331">
        <f>SC13DQ!D113</f>
        <v>0</v>
      </c>
      <c r="F113" s="704">
        <f>SC13DQ!E113</f>
        <v>0</v>
      </c>
      <c r="G113" s="331">
        <f>SC13DQ!F113</f>
        <v>0</v>
      </c>
      <c r="H113" s="704">
        <f>SC13DQ!G113</f>
        <v>0</v>
      </c>
      <c r="I113" s="34">
        <f t="shared" si="16"/>
        <v>0</v>
      </c>
      <c r="J113" s="189" t="str">
        <f t="shared" si="13"/>
        <v/>
      </c>
      <c r="K113" s="367">
        <f>SC13DQ!J113</f>
        <v>0</v>
      </c>
    </row>
    <row r="114" spans="1:11" ht="12.75" customHeight="1" x14ac:dyDescent="0.25">
      <c r="A114" s="30" t="s">
        <v>1200</v>
      </c>
      <c r="B114" s="90"/>
      <c r="C114" s="74">
        <f t="shared" ref="C114:H114" si="21">SUM(C115:C116)</f>
        <v>0</v>
      </c>
      <c r="D114" s="489">
        <f t="shared" si="21"/>
        <v>0</v>
      </c>
      <c r="E114" s="34">
        <f t="shared" si="21"/>
        <v>0</v>
      </c>
      <c r="F114" s="33">
        <f t="shared" si="21"/>
        <v>0</v>
      </c>
      <c r="G114" s="34">
        <f t="shared" si="21"/>
        <v>0</v>
      </c>
      <c r="H114" s="33">
        <f t="shared" si="21"/>
        <v>0</v>
      </c>
      <c r="I114" s="34">
        <f t="shared" si="16"/>
        <v>0</v>
      </c>
      <c r="J114" s="189" t="str">
        <f t="shared" si="13"/>
        <v/>
      </c>
      <c r="K114" s="35">
        <f>SUM(K115:K116)</f>
        <v>0</v>
      </c>
    </row>
    <row r="115" spans="1:11" ht="12.75" customHeight="1" x14ac:dyDescent="0.25">
      <c r="A115" s="606" t="s">
        <v>1198</v>
      </c>
      <c r="B115" s="90"/>
      <c r="C115" s="744">
        <f>SC13DQ!B115</f>
        <v>0</v>
      </c>
      <c r="D115" s="744">
        <f>SC13DQ!C115</f>
        <v>0</v>
      </c>
      <c r="E115" s="331">
        <f>SC13DQ!D115</f>
        <v>0</v>
      </c>
      <c r="F115" s="704">
        <f>SC13DQ!E115</f>
        <v>0</v>
      </c>
      <c r="G115" s="331">
        <f>SC13DQ!F115</f>
        <v>0</v>
      </c>
      <c r="H115" s="704">
        <f>SC13DQ!G115</f>
        <v>0</v>
      </c>
      <c r="I115" s="34">
        <f t="shared" si="16"/>
        <v>0</v>
      </c>
      <c r="J115" s="189" t="str">
        <f t="shared" si="13"/>
        <v/>
      </c>
      <c r="K115" s="367">
        <f>SC13DQ!J115</f>
        <v>0</v>
      </c>
    </row>
    <row r="116" spans="1:11" ht="12.75" customHeight="1" x14ac:dyDescent="0.25">
      <c r="A116" s="606" t="s">
        <v>1199</v>
      </c>
      <c r="B116" s="90"/>
      <c r="C116" s="744">
        <f>SC13DQ!B116</f>
        <v>0</v>
      </c>
      <c r="D116" s="744">
        <f>SC13DQ!C116</f>
        <v>0</v>
      </c>
      <c r="E116" s="331">
        <f>SC13DQ!D116</f>
        <v>0</v>
      </c>
      <c r="F116" s="704">
        <f>SC13DQ!E116</f>
        <v>0</v>
      </c>
      <c r="G116" s="331">
        <f>SC13DQ!F116</f>
        <v>0</v>
      </c>
      <c r="H116" s="704">
        <f>SC13DQ!G116</f>
        <v>0</v>
      </c>
      <c r="I116" s="34">
        <f t="shared" si="16"/>
        <v>0</v>
      </c>
      <c r="J116" s="189" t="str">
        <f t="shared" si="13"/>
        <v/>
      </c>
      <c r="K116" s="367">
        <f>SC13DQ!J116</f>
        <v>0</v>
      </c>
    </row>
    <row r="117" spans="1:11" ht="12.75" customHeight="1" x14ac:dyDescent="0.25">
      <c r="A117" s="29" t="s">
        <v>620</v>
      </c>
      <c r="B117" s="90"/>
      <c r="C117" s="220">
        <f t="shared" ref="C117:H117" si="22">+C118+C130</f>
        <v>18173020.840000004</v>
      </c>
      <c r="D117" s="737">
        <f t="shared" si="22"/>
        <v>18280300</v>
      </c>
      <c r="E117" s="221">
        <f t="shared" si="22"/>
        <v>24084678.060000002</v>
      </c>
      <c r="F117" s="737">
        <f t="shared" si="22"/>
        <v>1975829.8599999999</v>
      </c>
      <c r="G117" s="221">
        <f t="shared" si="22"/>
        <v>20021742.329999998</v>
      </c>
      <c r="H117" s="737">
        <f t="shared" si="22"/>
        <v>20038117.869999997</v>
      </c>
      <c r="I117" s="65">
        <f t="shared" si="16"/>
        <v>16375.539999999106</v>
      </c>
      <c r="J117" s="545">
        <f t="shared" si="13"/>
        <v>8.1721946673024082E-4</v>
      </c>
      <c r="K117" s="734">
        <f>+K118+K130</f>
        <v>24084678.060000002</v>
      </c>
    </row>
    <row r="118" spans="1:11" ht="12.75" customHeight="1" x14ac:dyDescent="0.25">
      <c r="A118" s="30" t="s">
        <v>1201</v>
      </c>
      <c r="B118" s="90"/>
      <c r="C118" s="74">
        <f t="shared" ref="C118:H118" si="23">SUM(C119:C129)</f>
        <v>10640552.440000001</v>
      </c>
      <c r="D118" s="489">
        <f t="shared" si="23"/>
        <v>10943300</v>
      </c>
      <c r="E118" s="34">
        <f t="shared" si="23"/>
        <v>16591593.210000001</v>
      </c>
      <c r="F118" s="33">
        <f t="shared" si="23"/>
        <v>1360346.5999999999</v>
      </c>
      <c r="G118" s="34">
        <f t="shared" si="23"/>
        <v>13784843.810000001</v>
      </c>
      <c r="H118" s="33">
        <f t="shared" si="23"/>
        <v>13799259.799999999</v>
      </c>
      <c r="I118" s="34">
        <f t="shared" si="16"/>
        <v>14415.989999998361</v>
      </c>
      <c r="J118" s="189">
        <f t="shared" si="13"/>
        <v>1.0446929914312043E-3</v>
      </c>
      <c r="K118" s="35">
        <f>SUM(K119:K129)</f>
        <v>16591593.210000001</v>
      </c>
    </row>
    <row r="119" spans="1:11" ht="12.75" customHeight="1" x14ac:dyDescent="0.25">
      <c r="A119" s="606" t="s">
        <v>1202</v>
      </c>
      <c r="B119" s="90"/>
      <c r="C119" s="744">
        <f>SC13DQ!B119</f>
        <v>7995978.2999999998</v>
      </c>
      <c r="D119" s="744">
        <f>SC13DQ!C119</f>
        <v>8684600</v>
      </c>
      <c r="E119" s="331">
        <f>SC13DQ!D119</f>
        <v>13104903.300000001</v>
      </c>
      <c r="F119" s="704">
        <f>SC13DQ!E119</f>
        <v>1073769.25</v>
      </c>
      <c r="G119" s="331">
        <f>SC13DQ!F119</f>
        <v>10880861.300000001</v>
      </c>
      <c r="H119" s="704">
        <f>SC13DQ!G119</f>
        <v>10895277.289999999</v>
      </c>
      <c r="I119" s="34">
        <f t="shared" si="16"/>
        <v>14415.989999998361</v>
      </c>
      <c r="J119" s="189">
        <f t="shared" si="13"/>
        <v>1.3231411754182497E-3</v>
      </c>
      <c r="K119" s="367">
        <f>SC13DQ!J119</f>
        <v>13104903.300000001</v>
      </c>
    </row>
    <row r="120" spans="1:11" ht="12.75" customHeight="1" x14ac:dyDescent="0.25">
      <c r="A120" s="606" t="s">
        <v>1203</v>
      </c>
      <c r="B120" s="90"/>
      <c r="C120" s="744">
        <f>SC13DQ!B120</f>
        <v>0</v>
      </c>
      <c r="D120" s="744">
        <f>SC13DQ!C120</f>
        <v>0</v>
      </c>
      <c r="E120" s="331">
        <f>SC13DQ!D120</f>
        <v>0</v>
      </c>
      <c r="F120" s="704">
        <f>SC13DQ!E120</f>
        <v>0</v>
      </c>
      <c r="G120" s="331">
        <f>SC13DQ!F120</f>
        <v>0</v>
      </c>
      <c r="H120" s="704">
        <f>SC13DQ!G120</f>
        <v>0</v>
      </c>
      <c r="I120" s="34">
        <f t="shared" si="16"/>
        <v>0</v>
      </c>
      <c r="J120" s="189" t="str">
        <f t="shared" si="13"/>
        <v/>
      </c>
      <c r="K120" s="367">
        <f>SC13DQ!J120</f>
        <v>0</v>
      </c>
    </row>
    <row r="121" spans="1:11" ht="12.75" customHeight="1" x14ac:dyDescent="0.25">
      <c r="A121" s="606" t="s">
        <v>1204</v>
      </c>
      <c r="B121" s="90"/>
      <c r="C121" s="744">
        <f>SC13DQ!B121</f>
        <v>0</v>
      </c>
      <c r="D121" s="744">
        <f>SC13DQ!C121</f>
        <v>0</v>
      </c>
      <c r="E121" s="331">
        <f>SC13DQ!D121</f>
        <v>0</v>
      </c>
      <c r="F121" s="704">
        <f>SC13DQ!E121</f>
        <v>0</v>
      </c>
      <c r="G121" s="331">
        <f>SC13DQ!F121</f>
        <v>0</v>
      </c>
      <c r="H121" s="704">
        <f>SC13DQ!G121</f>
        <v>0</v>
      </c>
      <c r="I121" s="34">
        <f t="shared" si="16"/>
        <v>0</v>
      </c>
      <c r="J121" s="189" t="str">
        <f t="shared" si="13"/>
        <v/>
      </c>
      <c r="K121" s="367">
        <f>SC13DQ!J121</f>
        <v>0</v>
      </c>
    </row>
    <row r="122" spans="1:11" ht="12.75" customHeight="1" x14ac:dyDescent="0.25">
      <c r="A122" s="606" t="s">
        <v>1205</v>
      </c>
      <c r="B122" s="90"/>
      <c r="C122" s="744">
        <f>SC13DQ!B122</f>
        <v>51394.65</v>
      </c>
      <c r="D122" s="744">
        <f>SC13DQ!C122</f>
        <v>50100</v>
      </c>
      <c r="E122" s="331">
        <f>SC13DQ!D122</f>
        <v>60449.599999999999</v>
      </c>
      <c r="F122" s="704">
        <f>SC13DQ!E122</f>
        <v>4968.41</v>
      </c>
      <c r="G122" s="331">
        <f>SC13DQ!F122</f>
        <v>50347.02</v>
      </c>
      <c r="H122" s="704">
        <f>SC13DQ!G122</f>
        <v>50347.02</v>
      </c>
      <c r="I122" s="34">
        <f t="shared" si="16"/>
        <v>0</v>
      </c>
      <c r="J122" s="189" t="str">
        <f t="shared" si="13"/>
        <v/>
      </c>
      <c r="K122" s="367">
        <f>SC13DQ!J122</f>
        <v>60449.599999999999</v>
      </c>
    </row>
    <row r="123" spans="1:11" ht="12.75" customHeight="1" x14ac:dyDescent="0.25">
      <c r="A123" s="606" t="s">
        <v>1206</v>
      </c>
      <c r="B123" s="90"/>
      <c r="C123" s="744">
        <f>SC13DQ!B123</f>
        <v>2593179.4900000002</v>
      </c>
      <c r="D123" s="744">
        <f>SC13DQ!C123</f>
        <v>2208600</v>
      </c>
      <c r="E123" s="331">
        <f>SC13DQ!D123</f>
        <v>3426240.31</v>
      </c>
      <c r="F123" s="704">
        <f>SC13DQ!E123</f>
        <v>281608.94</v>
      </c>
      <c r="G123" s="331">
        <f>SC13DQ!F123</f>
        <v>2853635.49</v>
      </c>
      <c r="H123" s="704">
        <f>SC13DQ!G123</f>
        <v>2853635.49</v>
      </c>
      <c r="I123" s="34">
        <f t="shared" si="16"/>
        <v>0</v>
      </c>
      <c r="J123" s="189" t="str">
        <f t="shared" si="13"/>
        <v/>
      </c>
      <c r="K123" s="367">
        <f>SC13DQ!J123</f>
        <v>3426240.31</v>
      </c>
    </row>
    <row r="124" spans="1:11" ht="12.75" customHeight="1" x14ac:dyDescent="0.25">
      <c r="A124" s="606" t="s">
        <v>1207</v>
      </c>
      <c r="B124" s="90"/>
      <c r="C124" s="744">
        <f>SC13DQ!B124</f>
        <v>0</v>
      </c>
      <c r="D124" s="744">
        <f>SC13DQ!C124</f>
        <v>0</v>
      </c>
      <c r="E124" s="331">
        <f>SC13DQ!D124</f>
        <v>0</v>
      </c>
      <c r="F124" s="704">
        <f>SC13DQ!E124</f>
        <v>0</v>
      </c>
      <c r="G124" s="331">
        <f>SC13DQ!F124</f>
        <v>0</v>
      </c>
      <c r="H124" s="704">
        <f>SC13DQ!G124</f>
        <v>0</v>
      </c>
      <c r="I124" s="34">
        <f t="shared" si="16"/>
        <v>0</v>
      </c>
      <c r="J124" s="189" t="str">
        <f t="shared" si="13"/>
        <v/>
      </c>
      <c r="K124" s="367">
        <f>SC13DQ!J124</f>
        <v>0</v>
      </c>
    </row>
    <row r="125" spans="1:11" ht="12.75" customHeight="1" x14ac:dyDescent="0.25">
      <c r="A125" s="606" t="s">
        <v>1208</v>
      </c>
      <c r="B125" s="90"/>
      <c r="C125" s="744">
        <f>SC13DQ!B125</f>
        <v>0</v>
      </c>
      <c r="D125" s="744">
        <f>SC13DQ!C125</f>
        <v>0</v>
      </c>
      <c r="E125" s="331">
        <f>SC13DQ!D125</f>
        <v>0</v>
      </c>
      <c r="F125" s="704">
        <f>SC13DQ!E125</f>
        <v>0</v>
      </c>
      <c r="G125" s="331">
        <f>SC13DQ!F125</f>
        <v>0</v>
      </c>
      <c r="H125" s="704">
        <f>SC13DQ!G125</f>
        <v>0</v>
      </c>
      <c r="I125" s="34">
        <f t="shared" si="16"/>
        <v>0</v>
      </c>
      <c r="J125" s="189" t="str">
        <f t="shared" si="13"/>
        <v/>
      </c>
      <c r="K125" s="367">
        <f>SC13DQ!J125</f>
        <v>0</v>
      </c>
    </row>
    <row r="126" spans="1:11" ht="12.75" customHeight="1" x14ac:dyDescent="0.25">
      <c r="A126" s="606" t="s">
        <v>1209</v>
      </c>
      <c r="B126" s="90"/>
      <c r="C126" s="744">
        <f>SC13DQ!B126</f>
        <v>0</v>
      </c>
      <c r="D126" s="744">
        <f>SC13DQ!C126</f>
        <v>0</v>
      </c>
      <c r="E126" s="331">
        <f>SC13DQ!D126</f>
        <v>0</v>
      </c>
      <c r="F126" s="704">
        <f>SC13DQ!E126</f>
        <v>0</v>
      </c>
      <c r="G126" s="331">
        <f>SC13DQ!F126</f>
        <v>0</v>
      </c>
      <c r="H126" s="704">
        <f>SC13DQ!G126</f>
        <v>0</v>
      </c>
      <c r="I126" s="34">
        <f t="shared" si="16"/>
        <v>0</v>
      </c>
      <c r="J126" s="189" t="str">
        <f t="shared" si="13"/>
        <v/>
      </c>
      <c r="K126" s="367">
        <f>SC13DQ!J126</f>
        <v>0</v>
      </c>
    </row>
    <row r="127" spans="1:11" ht="12.75" customHeight="1" x14ac:dyDescent="0.25">
      <c r="A127" s="606" t="s">
        <v>1210</v>
      </c>
      <c r="B127" s="90"/>
      <c r="C127" s="744">
        <f>SC13DQ!B127</f>
        <v>0</v>
      </c>
      <c r="D127" s="744">
        <f>SC13DQ!C127</f>
        <v>0</v>
      </c>
      <c r="E127" s="331">
        <f>SC13DQ!D127</f>
        <v>0</v>
      </c>
      <c r="F127" s="704">
        <f>SC13DQ!E127</f>
        <v>0</v>
      </c>
      <c r="G127" s="331">
        <f>SC13DQ!F127</f>
        <v>0</v>
      </c>
      <c r="H127" s="704">
        <f>SC13DQ!G127</f>
        <v>0</v>
      </c>
      <c r="I127" s="34">
        <f t="shared" si="16"/>
        <v>0</v>
      </c>
      <c r="J127" s="189" t="str">
        <f t="shared" si="13"/>
        <v/>
      </c>
      <c r="K127" s="367">
        <f>SC13DQ!J127</f>
        <v>0</v>
      </c>
    </row>
    <row r="128" spans="1:11" ht="12.75" customHeight="1" x14ac:dyDescent="0.25">
      <c r="A128" s="606" t="s">
        <v>1211</v>
      </c>
      <c r="B128" s="90"/>
      <c r="C128" s="744">
        <f>SC13DQ!B128</f>
        <v>0</v>
      </c>
      <c r="D128" s="744">
        <f>SC13DQ!C128</f>
        <v>0</v>
      </c>
      <c r="E128" s="331">
        <f>SC13DQ!D128</f>
        <v>0</v>
      </c>
      <c r="F128" s="704">
        <f>SC13DQ!E128</f>
        <v>0</v>
      </c>
      <c r="G128" s="331">
        <f>SC13DQ!F128</f>
        <v>0</v>
      </c>
      <c r="H128" s="704">
        <f>SC13DQ!G128</f>
        <v>0</v>
      </c>
      <c r="I128" s="34">
        <f t="shared" si="16"/>
        <v>0</v>
      </c>
      <c r="J128" s="189" t="str">
        <f>IF(H128=0,"",I128/H128)</f>
        <v/>
      </c>
      <c r="K128" s="367">
        <f>SC13DQ!J128</f>
        <v>0</v>
      </c>
    </row>
    <row r="129" spans="1:11" ht="12.75" customHeight="1" x14ac:dyDescent="0.25">
      <c r="A129" s="606" t="s">
        <v>1122</v>
      </c>
      <c r="B129" s="90"/>
      <c r="C129" s="744">
        <f>SC13DQ!B129</f>
        <v>0</v>
      </c>
      <c r="D129" s="744">
        <f>SC13DQ!C129</f>
        <v>0</v>
      </c>
      <c r="E129" s="331">
        <f>SC13DQ!D129</f>
        <v>0</v>
      </c>
      <c r="F129" s="704">
        <f>SC13DQ!E129</f>
        <v>0</v>
      </c>
      <c r="G129" s="331">
        <f>SC13DQ!F129</f>
        <v>0</v>
      </c>
      <c r="H129" s="704">
        <f>SC13DQ!G129</f>
        <v>0</v>
      </c>
      <c r="I129" s="34">
        <f t="shared" si="16"/>
        <v>0</v>
      </c>
      <c r="J129" s="189" t="str">
        <f t="shared" si="13"/>
        <v/>
      </c>
      <c r="K129" s="367">
        <f>SC13DQ!J129</f>
        <v>0</v>
      </c>
    </row>
    <row r="130" spans="1:11" ht="12.75" customHeight="1" x14ac:dyDescent="0.25">
      <c r="A130" s="30" t="s">
        <v>659</v>
      </c>
      <c r="B130" s="90"/>
      <c r="C130" s="74">
        <f t="shared" ref="C130:H130" si="24">SUM(C131:C133)</f>
        <v>7532468.4000000004</v>
      </c>
      <c r="D130" s="489">
        <f t="shared" si="24"/>
        <v>7337000</v>
      </c>
      <c r="E130" s="34">
        <f t="shared" si="24"/>
        <v>7493084.8499999996</v>
      </c>
      <c r="F130" s="33">
        <f t="shared" si="24"/>
        <v>615483.26</v>
      </c>
      <c r="G130" s="34">
        <f t="shared" si="24"/>
        <v>6236898.5199999996</v>
      </c>
      <c r="H130" s="33">
        <f t="shared" si="24"/>
        <v>6238858.0700000003</v>
      </c>
      <c r="I130" s="34">
        <f t="shared" si="16"/>
        <v>1959.5500000007451</v>
      </c>
      <c r="J130" s="189">
        <f t="shared" si="13"/>
        <v>3.1408792731211225E-4</v>
      </c>
      <c r="K130" s="35">
        <f>SUM(K131:K133)</f>
        <v>7493084.8499999996</v>
      </c>
    </row>
    <row r="131" spans="1:11" ht="12.75" customHeight="1" x14ac:dyDescent="0.25">
      <c r="A131" s="606" t="s">
        <v>1212</v>
      </c>
      <c r="B131" s="90"/>
      <c r="C131" s="744">
        <f>SC13DQ!B131</f>
        <v>1134988.1200000001</v>
      </c>
      <c r="D131" s="744">
        <f>SC13DQ!C131</f>
        <v>1117200</v>
      </c>
      <c r="E131" s="331">
        <f>SC13DQ!D131</f>
        <v>1090901.79</v>
      </c>
      <c r="F131" s="704">
        <f>SC13DQ!E131</f>
        <v>89663.13</v>
      </c>
      <c r="G131" s="331">
        <f>SC13DQ!F131</f>
        <v>908586.42</v>
      </c>
      <c r="H131" s="704">
        <f>SC13DQ!G131</f>
        <v>908586.42</v>
      </c>
      <c r="I131" s="34">
        <f t="shared" si="16"/>
        <v>0</v>
      </c>
      <c r="J131" s="189" t="str">
        <f t="shared" si="13"/>
        <v/>
      </c>
      <c r="K131" s="367">
        <f>SC13DQ!J131</f>
        <v>1090901.79</v>
      </c>
    </row>
    <row r="132" spans="1:11" ht="12.75" customHeight="1" x14ac:dyDescent="0.25">
      <c r="A132" s="606" t="s">
        <v>1213</v>
      </c>
      <c r="B132" s="90"/>
      <c r="C132" s="744">
        <f>SC13DQ!B132</f>
        <v>6397480.2800000003</v>
      </c>
      <c r="D132" s="744">
        <f>SC13DQ!C132</f>
        <v>6219800</v>
      </c>
      <c r="E132" s="331">
        <f>SC13DQ!D132</f>
        <v>6402183.0599999996</v>
      </c>
      <c r="F132" s="704">
        <f>SC13DQ!E132</f>
        <v>525820.13</v>
      </c>
      <c r="G132" s="331">
        <f>SC13DQ!F132</f>
        <v>5328312.0999999996</v>
      </c>
      <c r="H132" s="704">
        <f>SC13DQ!G132</f>
        <v>5330271.6500000004</v>
      </c>
      <c r="I132" s="34">
        <f t="shared" si="16"/>
        <v>1959.5500000007451</v>
      </c>
      <c r="J132" s="189">
        <f t="shared" si="13"/>
        <v>3.6762666683240149E-4</v>
      </c>
      <c r="K132" s="367">
        <f>SC13DQ!J132</f>
        <v>6402183.0599999996</v>
      </c>
    </row>
    <row r="133" spans="1:11" ht="12.75" customHeight="1" x14ac:dyDescent="0.25">
      <c r="A133" s="606" t="s">
        <v>1122</v>
      </c>
      <c r="B133" s="90"/>
      <c r="C133" s="744">
        <f>SC13DQ!B133</f>
        <v>0</v>
      </c>
      <c r="D133" s="744">
        <f>SC13DQ!C133</f>
        <v>0</v>
      </c>
      <c r="E133" s="331">
        <f>SC13DQ!D133</f>
        <v>0</v>
      </c>
      <c r="F133" s="704">
        <f>SC13DQ!E133</f>
        <v>0</v>
      </c>
      <c r="G133" s="331">
        <f>SC13DQ!F133</f>
        <v>0</v>
      </c>
      <c r="H133" s="704">
        <f>SC13DQ!G133</f>
        <v>0</v>
      </c>
      <c r="I133" s="34">
        <f t="shared" si="16"/>
        <v>0</v>
      </c>
      <c r="J133" s="189" t="str">
        <f t="shared" si="13"/>
        <v/>
      </c>
      <c r="K133" s="367">
        <f>SC13DQ!J133</f>
        <v>0</v>
      </c>
    </row>
    <row r="134" spans="1:11" ht="5.0999999999999996" customHeight="1" x14ac:dyDescent="0.25">
      <c r="A134" s="30"/>
      <c r="B134" s="90"/>
      <c r="C134" s="74"/>
      <c r="D134" s="33"/>
      <c r="E134" s="34"/>
      <c r="F134" s="33"/>
      <c r="G134" s="34"/>
      <c r="H134" s="33"/>
      <c r="I134" s="34"/>
      <c r="J134" s="189" t="str">
        <f t="shared" si="13"/>
        <v/>
      </c>
      <c r="K134" s="35"/>
    </row>
    <row r="135" spans="1:11" ht="12.75" customHeight="1" x14ac:dyDescent="0.25">
      <c r="A135" s="29" t="s">
        <v>1214</v>
      </c>
      <c r="B135" s="90"/>
      <c r="C135" s="220">
        <f t="shared" ref="C135:H135" si="25">SUM(C136:C136)</f>
        <v>0</v>
      </c>
      <c r="D135" s="737">
        <f t="shared" si="25"/>
        <v>0</v>
      </c>
      <c r="E135" s="221">
        <f t="shared" si="25"/>
        <v>0</v>
      </c>
      <c r="F135" s="737">
        <f t="shared" si="25"/>
        <v>0</v>
      </c>
      <c r="G135" s="221">
        <f t="shared" si="25"/>
        <v>0</v>
      </c>
      <c r="H135" s="737">
        <f t="shared" si="25"/>
        <v>0</v>
      </c>
      <c r="I135" s="221">
        <f>H135-G135</f>
        <v>0</v>
      </c>
      <c r="J135" s="545" t="str">
        <f t="shared" ref="J135:J173" si="26">IF(I135=0,"",I135/H135)</f>
        <v/>
      </c>
      <c r="K135" s="734">
        <f>SUM(K136)</f>
        <v>0</v>
      </c>
    </row>
    <row r="136" spans="1:11" ht="12.75" customHeight="1" x14ac:dyDescent="0.25">
      <c r="A136" s="30" t="s">
        <v>1214</v>
      </c>
      <c r="B136" s="90"/>
      <c r="C136" s="379">
        <f>SC13DQ!B136</f>
        <v>0</v>
      </c>
      <c r="D136" s="704"/>
      <c r="E136" s="331"/>
      <c r="F136" s="704"/>
      <c r="G136" s="331"/>
      <c r="H136" s="704"/>
      <c r="I136" s="34">
        <f>H136-G136</f>
        <v>0</v>
      </c>
      <c r="J136" s="189" t="str">
        <f t="shared" si="26"/>
        <v/>
      </c>
      <c r="K136" s="367"/>
    </row>
    <row r="137" spans="1:11" ht="5.0999999999999996" customHeight="1" x14ac:dyDescent="0.25">
      <c r="A137" s="32"/>
      <c r="B137" s="90"/>
      <c r="C137" s="74"/>
      <c r="D137" s="33"/>
      <c r="E137" s="34"/>
      <c r="F137" s="33"/>
      <c r="G137" s="34"/>
      <c r="H137" s="33"/>
      <c r="I137" s="34"/>
      <c r="J137" s="189" t="str">
        <f t="shared" si="26"/>
        <v/>
      </c>
      <c r="K137" s="35"/>
    </row>
    <row r="138" spans="1:11" ht="12.75" customHeight="1" x14ac:dyDescent="0.25">
      <c r="A138" s="29" t="s">
        <v>1215</v>
      </c>
      <c r="B138" s="90"/>
      <c r="C138" s="220">
        <f t="shared" ref="C138:H138" si="27">SUM(C139:C140)</f>
        <v>40995590.260000005</v>
      </c>
      <c r="D138" s="737">
        <f t="shared" si="27"/>
        <v>37532000</v>
      </c>
      <c r="E138" s="221">
        <f t="shared" si="27"/>
        <v>42890116.450000003</v>
      </c>
      <c r="F138" s="737">
        <f t="shared" si="27"/>
        <v>3458383.31</v>
      </c>
      <c r="G138" s="221">
        <f t="shared" si="27"/>
        <v>35044951.240000002</v>
      </c>
      <c r="H138" s="737">
        <f t="shared" si="27"/>
        <v>35464260.770000003</v>
      </c>
      <c r="I138" s="221">
        <f t="shared" ref="I138:I146" si="28">H138-G138</f>
        <v>419309.53000000119</v>
      </c>
      <c r="J138" s="545">
        <f t="shared" si="26"/>
        <v>1.1823439172168064E-2</v>
      </c>
      <c r="K138" s="734">
        <f>SUM(K139:K140)</f>
        <v>42890116.450000003</v>
      </c>
    </row>
    <row r="139" spans="1:11" ht="12.75" customHeight="1" x14ac:dyDescent="0.25">
      <c r="A139" s="30" t="s">
        <v>1216</v>
      </c>
      <c r="B139" s="90"/>
      <c r="C139" s="379">
        <f>SC13DQ!B139</f>
        <v>0</v>
      </c>
      <c r="D139" s="704"/>
      <c r="E139" s="331"/>
      <c r="F139" s="704"/>
      <c r="G139" s="331"/>
      <c r="H139" s="704"/>
      <c r="I139" s="34">
        <f t="shared" si="28"/>
        <v>0</v>
      </c>
      <c r="J139" s="189" t="str">
        <f t="shared" si="26"/>
        <v/>
      </c>
      <c r="K139" s="367"/>
    </row>
    <row r="140" spans="1:11" ht="12.75" customHeight="1" x14ac:dyDescent="0.25">
      <c r="A140" s="30" t="s">
        <v>1217</v>
      </c>
      <c r="B140" s="90"/>
      <c r="C140" s="74">
        <f t="shared" ref="C140:H140" si="29">SUM(C141:C146)</f>
        <v>40995590.260000005</v>
      </c>
      <c r="D140" s="33">
        <f t="shared" si="29"/>
        <v>37532000</v>
      </c>
      <c r="E140" s="34">
        <f t="shared" si="29"/>
        <v>42890116.450000003</v>
      </c>
      <c r="F140" s="33">
        <f t="shared" si="29"/>
        <v>3458383.31</v>
      </c>
      <c r="G140" s="34">
        <f t="shared" si="29"/>
        <v>35044951.240000002</v>
      </c>
      <c r="H140" s="33">
        <f t="shared" si="29"/>
        <v>35464260.770000003</v>
      </c>
      <c r="I140" s="34">
        <f t="shared" si="28"/>
        <v>419309.53000000119</v>
      </c>
      <c r="J140" s="189">
        <f t="shared" si="26"/>
        <v>1.1823439172168064E-2</v>
      </c>
      <c r="K140" s="35">
        <f>SUM(K141:K146)</f>
        <v>42890116.450000003</v>
      </c>
    </row>
    <row r="141" spans="1:11" ht="12.75" customHeight="1" x14ac:dyDescent="0.25">
      <c r="A141" s="606" t="s">
        <v>1218</v>
      </c>
      <c r="B141" s="90"/>
      <c r="C141" s="379">
        <f>SC13DQ!B141</f>
        <v>239423.84</v>
      </c>
      <c r="D141" s="704">
        <f>SC13DQ!C141</f>
        <v>239400</v>
      </c>
      <c r="E141" s="331">
        <f>SC13DQ!D141</f>
        <v>239423.81</v>
      </c>
      <c r="F141" s="704">
        <f>SC13DQ!E141</f>
        <v>19678.66</v>
      </c>
      <c r="G141" s="331">
        <f>SC13DQ!F141</f>
        <v>199410.53</v>
      </c>
      <c r="H141" s="704">
        <f>SC13DQ!G141</f>
        <v>199410.53</v>
      </c>
      <c r="I141" s="34">
        <f t="shared" si="28"/>
        <v>0</v>
      </c>
      <c r="J141" s="189" t="str">
        <f t="shared" si="26"/>
        <v/>
      </c>
      <c r="K141" s="367">
        <f>SC13DQ!J141</f>
        <v>239423.81</v>
      </c>
    </row>
    <row r="142" spans="1:11" ht="12.75" customHeight="1" x14ac:dyDescent="0.25">
      <c r="A142" s="606" t="s">
        <v>1219</v>
      </c>
      <c r="B142" s="90"/>
      <c r="C142" s="379">
        <f>SC13DQ!B142</f>
        <v>0</v>
      </c>
      <c r="D142" s="744">
        <f>SC13DQ!C142</f>
        <v>0</v>
      </c>
      <c r="E142" s="331">
        <f>SC13DQ!D142</f>
        <v>0</v>
      </c>
      <c r="F142" s="704">
        <f>SC13DQ!E142</f>
        <v>0</v>
      </c>
      <c r="G142" s="331">
        <f>SC13DQ!F142</f>
        <v>0</v>
      </c>
      <c r="H142" s="704">
        <f>SC13DQ!G142</f>
        <v>0</v>
      </c>
      <c r="I142" s="34">
        <f t="shared" si="28"/>
        <v>0</v>
      </c>
      <c r="J142" s="189" t="str">
        <f t="shared" si="26"/>
        <v/>
      </c>
      <c r="K142" s="367">
        <f>SC13DQ!J142</f>
        <v>0</v>
      </c>
    </row>
    <row r="143" spans="1:11" ht="12.75" customHeight="1" x14ac:dyDescent="0.25">
      <c r="A143" s="606" t="s">
        <v>1220</v>
      </c>
      <c r="B143" s="90"/>
      <c r="C143" s="379">
        <f>SC13DQ!B143</f>
        <v>0</v>
      </c>
      <c r="D143" s="744">
        <f>SC13DQ!C143</f>
        <v>0</v>
      </c>
      <c r="E143" s="331">
        <f>SC13DQ!D143</f>
        <v>0</v>
      </c>
      <c r="F143" s="704">
        <f>SC13DQ!E143</f>
        <v>0</v>
      </c>
      <c r="G143" s="331">
        <f>SC13DQ!F143</f>
        <v>0</v>
      </c>
      <c r="H143" s="704">
        <f>SC13DQ!G143</f>
        <v>0</v>
      </c>
      <c r="I143" s="34">
        <f t="shared" si="28"/>
        <v>0</v>
      </c>
      <c r="J143" s="189" t="str">
        <f t="shared" si="26"/>
        <v/>
      </c>
      <c r="K143" s="367">
        <f>SC13DQ!J143</f>
        <v>0</v>
      </c>
    </row>
    <row r="144" spans="1:11" ht="12.75" customHeight="1" x14ac:dyDescent="0.25">
      <c r="A144" s="606" t="s">
        <v>1221</v>
      </c>
      <c r="B144" s="90"/>
      <c r="C144" s="379">
        <f>SC13DQ!B144</f>
        <v>40756166.420000002</v>
      </c>
      <c r="D144" s="744">
        <f>SC13DQ!C144</f>
        <v>37292600</v>
      </c>
      <c r="E144" s="331">
        <f>SC13DQ!D144</f>
        <v>42650692.640000001</v>
      </c>
      <c r="F144" s="704">
        <f>SC13DQ!E144</f>
        <v>3438704.65</v>
      </c>
      <c r="G144" s="331">
        <f>SC13DQ!F144</f>
        <v>34845540.710000001</v>
      </c>
      <c r="H144" s="704">
        <f>SC13DQ!G144</f>
        <v>35264850.240000002</v>
      </c>
      <c r="I144" s="34">
        <f t="shared" si="28"/>
        <v>419309.53000000119</v>
      </c>
      <c r="J144" s="189">
        <f t="shared" si="26"/>
        <v>1.1890296630960574E-2</v>
      </c>
      <c r="K144" s="367">
        <f>SC13DQ!J144</f>
        <v>42650692.640000001</v>
      </c>
    </row>
    <row r="145" spans="1:11" ht="12.75" customHeight="1" x14ac:dyDescent="0.25">
      <c r="A145" s="606" t="s">
        <v>1222</v>
      </c>
      <c r="B145" s="90"/>
      <c r="C145" s="379">
        <f>SC13DQ!B145</f>
        <v>0</v>
      </c>
      <c r="D145" s="744">
        <f>SC13DQ!C145</f>
        <v>0</v>
      </c>
      <c r="E145" s="331">
        <f>SC13DQ!D145</f>
        <v>0</v>
      </c>
      <c r="F145" s="704">
        <f>SC13DQ!E145</f>
        <v>0</v>
      </c>
      <c r="G145" s="331">
        <f>SC13DQ!F145</f>
        <v>0</v>
      </c>
      <c r="H145" s="704">
        <f>SC13DQ!G145</f>
        <v>0</v>
      </c>
      <c r="I145" s="34">
        <f t="shared" si="28"/>
        <v>0</v>
      </c>
      <c r="J145" s="189" t="str">
        <f t="shared" si="26"/>
        <v/>
      </c>
      <c r="K145" s="367">
        <f>SC13DQ!J145</f>
        <v>0</v>
      </c>
    </row>
    <row r="146" spans="1:11" ht="12.75" customHeight="1" x14ac:dyDescent="0.25">
      <c r="A146" s="606" t="s">
        <v>1223</v>
      </c>
      <c r="B146" s="90"/>
      <c r="C146" s="379">
        <f>SC13DQ!B146</f>
        <v>0</v>
      </c>
      <c r="D146" s="744">
        <f>SC13DQ!C146</f>
        <v>0</v>
      </c>
      <c r="E146" s="331">
        <f>SC13DQ!D146</f>
        <v>0</v>
      </c>
      <c r="F146" s="704">
        <f>SC13DQ!E146</f>
        <v>0</v>
      </c>
      <c r="G146" s="331">
        <f>SC13DQ!F146</f>
        <v>0</v>
      </c>
      <c r="H146" s="704">
        <f>SC13DQ!G146</f>
        <v>0</v>
      </c>
      <c r="I146" s="34">
        <f t="shared" si="28"/>
        <v>0</v>
      </c>
      <c r="J146" s="189" t="str">
        <f t="shared" si="26"/>
        <v/>
      </c>
      <c r="K146" s="367">
        <f>SC13DQ!J146</f>
        <v>0</v>
      </c>
    </row>
    <row r="147" spans="1:11" ht="5.25" customHeight="1" x14ac:dyDescent="0.25">
      <c r="A147" s="32"/>
      <c r="B147" s="90"/>
      <c r="C147" s="74"/>
      <c r="D147" s="33"/>
      <c r="E147" s="34"/>
      <c r="F147" s="33"/>
      <c r="G147" s="34"/>
      <c r="H147" s="33"/>
      <c r="I147" s="34"/>
      <c r="J147" s="189" t="str">
        <f t="shared" si="26"/>
        <v/>
      </c>
      <c r="K147" s="35"/>
    </row>
    <row r="148" spans="1:11" ht="12.75" customHeight="1" x14ac:dyDescent="0.25">
      <c r="A148" s="29" t="s">
        <v>1224</v>
      </c>
      <c r="B148" s="90"/>
      <c r="C148" s="220">
        <f t="shared" ref="C148:H148" si="30">SUM(C149:C149)</f>
        <v>3288649.47</v>
      </c>
      <c r="D148" s="737">
        <f t="shared" si="30"/>
        <v>4041900</v>
      </c>
      <c r="E148" s="221">
        <f t="shared" si="30"/>
        <v>3970018.79</v>
      </c>
      <c r="F148" s="737">
        <f t="shared" si="30"/>
        <v>298589.15999999997</v>
      </c>
      <c r="G148" s="221">
        <f t="shared" si="30"/>
        <v>2982236.98</v>
      </c>
      <c r="H148" s="737">
        <f t="shared" si="30"/>
        <v>3167227.97</v>
      </c>
      <c r="I148" s="221">
        <f>H148-G148</f>
        <v>184990.99000000022</v>
      </c>
      <c r="J148" s="545">
        <f t="shared" si="26"/>
        <v>5.840785436104879E-2</v>
      </c>
      <c r="K148" s="734">
        <f>SUM(K149)</f>
        <v>3970018.79</v>
      </c>
    </row>
    <row r="149" spans="1:11" ht="12.75" customHeight="1" x14ac:dyDescent="0.25">
      <c r="A149" s="30" t="s">
        <v>1224</v>
      </c>
      <c r="B149" s="90"/>
      <c r="C149" s="744">
        <f>SC13DQ!B149</f>
        <v>3288649.47</v>
      </c>
      <c r="D149" s="744">
        <f>SC13DQ!C149</f>
        <v>4041900</v>
      </c>
      <c r="E149" s="331">
        <f>SC13DQ!D149</f>
        <v>3970018.79</v>
      </c>
      <c r="F149" s="704">
        <f>SC13DQ!E149</f>
        <v>298589.15999999997</v>
      </c>
      <c r="G149" s="331">
        <f>SC13DQ!F149</f>
        <v>2982236.98</v>
      </c>
      <c r="H149" s="704">
        <f>SC13DQ!G149</f>
        <v>3167227.97</v>
      </c>
      <c r="I149" s="38">
        <f>H149-G149</f>
        <v>184990.99000000022</v>
      </c>
      <c r="J149" s="189">
        <f t="shared" si="26"/>
        <v>5.840785436104879E-2</v>
      </c>
      <c r="K149" s="367">
        <f>SC13DQ!J149</f>
        <v>3970018.79</v>
      </c>
    </row>
    <row r="150" spans="1:11" ht="5.0999999999999996" customHeight="1" x14ac:dyDescent="0.25">
      <c r="A150" s="32"/>
      <c r="B150" s="90"/>
      <c r="C150" s="74"/>
      <c r="D150" s="33"/>
      <c r="E150" s="34"/>
      <c r="F150" s="33"/>
      <c r="G150" s="34"/>
      <c r="H150" s="33"/>
      <c r="I150" s="38">
        <f t="shared" ref="I150:I161" si="31">H150-G150</f>
        <v>0</v>
      </c>
      <c r="J150" s="189" t="str">
        <f t="shared" si="26"/>
        <v/>
      </c>
      <c r="K150" s="35"/>
    </row>
    <row r="151" spans="1:11" ht="12.75" customHeight="1" x14ac:dyDescent="0.25">
      <c r="A151" s="29" t="s">
        <v>1225</v>
      </c>
      <c r="B151" s="90"/>
      <c r="C151" s="220">
        <f t="shared" ref="C151:H151" si="32">SUM(C152:C152)</f>
        <v>1164662.73</v>
      </c>
      <c r="D151" s="737">
        <f t="shared" si="32"/>
        <v>1567700</v>
      </c>
      <c r="E151" s="221">
        <f t="shared" si="32"/>
        <v>1248865.8400000001</v>
      </c>
      <c r="F151" s="737">
        <f t="shared" si="32"/>
        <v>109074.16</v>
      </c>
      <c r="G151" s="221">
        <f t="shared" si="32"/>
        <v>1099660.8700000001</v>
      </c>
      <c r="H151" s="737">
        <f t="shared" si="32"/>
        <v>1082399.3400000001</v>
      </c>
      <c r="I151" s="221">
        <f t="shared" si="31"/>
        <v>-17261.530000000028</v>
      </c>
      <c r="J151" s="545">
        <f t="shared" si="26"/>
        <v>-1.5947469073660028E-2</v>
      </c>
      <c r="K151" s="734">
        <f>SUM(K152)</f>
        <v>1248865.8400000001</v>
      </c>
    </row>
    <row r="152" spans="1:11" ht="12.75" customHeight="1" x14ac:dyDescent="0.25">
      <c r="A152" s="30" t="s">
        <v>1225</v>
      </c>
      <c r="B152" s="90"/>
      <c r="C152" s="744">
        <f>SC13DQ!B152</f>
        <v>1164662.73</v>
      </c>
      <c r="D152" s="744">
        <f>SC13DQ!C152</f>
        <v>1567700</v>
      </c>
      <c r="E152" s="331">
        <f>SC13DQ!D152</f>
        <v>1248865.8400000001</v>
      </c>
      <c r="F152" s="704">
        <f>SC13DQ!E152</f>
        <v>109074.16</v>
      </c>
      <c r="G152" s="331">
        <f>SC13DQ!F152</f>
        <v>1099660.8700000001</v>
      </c>
      <c r="H152" s="704">
        <f>SC13DQ!G152</f>
        <v>1082399.3400000001</v>
      </c>
      <c r="I152" s="38">
        <f t="shared" si="31"/>
        <v>-17261.530000000028</v>
      </c>
      <c r="J152" s="189">
        <f t="shared" si="26"/>
        <v>-1.5947469073660028E-2</v>
      </c>
      <c r="K152" s="367">
        <f>SC13DQ!J152</f>
        <v>1248865.8400000001</v>
      </c>
    </row>
    <row r="153" spans="1:11" ht="5.0999999999999996" customHeight="1" x14ac:dyDescent="0.25">
      <c r="A153" s="32"/>
      <c r="B153" s="90"/>
      <c r="C153" s="74"/>
      <c r="D153" s="33"/>
      <c r="E153" s="34"/>
      <c r="F153" s="33"/>
      <c r="G153" s="34"/>
      <c r="H153" s="33"/>
      <c r="I153" s="38">
        <f t="shared" si="31"/>
        <v>0</v>
      </c>
      <c r="J153" s="189" t="str">
        <f t="shared" si="26"/>
        <v/>
      </c>
      <c r="K153" s="35"/>
    </row>
    <row r="154" spans="1:11" ht="12.75" customHeight="1" x14ac:dyDescent="0.25">
      <c r="A154" s="29" t="s">
        <v>1226</v>
      </c>
      <c r="B154" s="90"/>
      <c r="C154" s="220">
        <f t="shared" ref="C154:H154" si="33">SUM(C155:C155)</f>
        <v>25414433.420000002</v>
      </c>
      <c r="D154" s="737">
        <f t="shared" si="33"/>
        <v>32596900</v>
      </c>
      <c r="E154" s="221">
        <f t="shared" si="33"/>
        <v>27050323.809999999</v>
      </c>
      <c r="F154" s="737">
        <f t="shared" si="33"/>
        <v>2227826.31</v>
      </c>
      <c r="G154" s="221">
        <f t="shared" si="33"/>
        <v>22098505.640000001</v>
      </c>
      <c r="H154" s="737">
        <f t="shared" si="33"/>
        <v>22275032.620000001</v>
      </c>
      <c r="I154" s="221">
        <f t="shared" si="31"/>
        <v>176526.98000000045</v>
      </c>
      <c r="J154" s="545">
        <f t="shared" si="26"/>
        <v>7.9248808749892846E-3</v>
      </c>
      <c r="K154" s="734">
        <f>SUM(K155)</f>
        <v>27050323.809999999</v>
      </c>
    </row>
    <row r="155" spans="1:11" ht="12.75" customHeight="1" x14ac:dyDescent="0.25">
      <c r="A155" s="30" t="s">
        <v>1226</v>
      </c>
      <c r="B155" s="90"/>
      <c r="C155" s="744">
        <f>SC13DQ!B155</f>
        <v>25414433.420000002</v>
      </c>
      <c r="D155" s="744">
        <f>SC13DQ!C155</f>
        <v>32596900</v>
      </c>
      <c r="E155" s="331">
        <f>SC13DQ!D155</f>
        <v>27050323.809999999</v>
      </c>
      <c r="F155" s="704">
        <f>SC13DQ!E155</f>
        <v>2227826.31</v>
      </c>
      <c r="G155" s="331">
        <f>SC13DQ!F155</f>
        <v>22098505.640000001</v>
      </c>
      <c r="H155" s="704">
        <f>SC13DQ!G155</f>
        <v>22275032.620000001</v>
      </c>
      <c r="I155" s="38">
        <f t="shared" si="31"/>
        <v>176526.98000000045</v>
      </c>
      <c r="J155" s="189">
        <f t="shared" si="26"/>
        <v>7.9248808749892846E-3</v>
      </c>
      <c r="K155" s="367">
        <f>SC13DQ!J155</f>
        <v>27050323.809999999</v>
      </c>
    </row>
    <row r="156" spans="1:11" ht="5.0999999999999996" customHeight="1" x14ac:dyDescent="0.25">
      <c r="A156" s="32"/>
      <c r="B156" s="90"/>
      <c r="C156" s="74"/>
      <c r="D156" s="33"/>
      <c r="E156" s="34"/>
      <c r="F156" s="33"/>
      <c r="G156" s="34"/>
      <c r="H156" s="33"/>
      <c r="I156" s="38">
        <f t="shared" si="31"/>
        <v>0</v>
      </c>
      <c r="J156" s="189" t="str">
        <f t="shared" si="26"/>
        <v/>
      </c>
      <c r="K156" s="35"/>
    </row>
    <row r="157" spans="1:11" ht="12.75" customHeight="1" x14ac:dyDescent="0.25">
      <c r="A157" s="29" t="s">
        <v>1227</v>
      </c>
      <c r="B157" s="90"/>
      <c r="C157" s="220">
        <f t="shared" ref="C157:H157" si="34">SUM(C158:C158)</f>
        <v>8020841.71</v>
      </c>
      <c r="D157" s="737">
        <f t="shared" si="34"/>
        <v>12001400</v>
      </c>
      <c r="E157" s="221">
        <f t="shared" si="34"/>
        <v>8528534.4800000004</v>
      </c>
      <c r="F157" s="737">
        <f t="shared" si="34"/>
        <v>665280.31999999995</v>
      </c>
      <c r="G157" s="221">
        <f t="shared" si="34"/>
        <v>6620301.6900000004</v>
      </c>
      <c r="H157" s="737">
        <f t="shared" si="34"/>
        <v>6888588.6500000004</v>
      </c>
      <c r="I157" s="221">
        <f t="shared" si="31"/>
        <v>268286.95999999996</v>
      </c>
      <c r="J157" s="545">
        <f t="shared" si="26"/>
        <v>3.8946578701574808E-2</v>
      </c>
      <c r="K157" s="734">
        <f>SUM(K158)</f>
        <v>8528534.4800000004</v>
      </c>
    </row>
    <row r="158" spans="1:11" ht="12.75" customHeight="1" x14ac:dyDescent="0.25">
      <c r="A158" s="30" t="s">
        <v>1227</v>
      </c>
      <c r="B158" s="90"/>
      <c r="C158" s="744">
        <f>SC13DQ!B158</f>
        <v>8020841.71</v>
      </c>
      <c r="D158" s="744">
        <f>SC13DQ!C158</f>
        <v>12001400</v>
      </c>
      <c r="E158" s="331">
        <f>SC13DQ!D158</f>
        <v>8528534.4800000004</v>
      </c>
      <c r="F158" s="704">
        <f>SC13DQ!E158</f>
        <v>665280.31999999995</v>
      </c>
      <c r="G158" s="331">
        <f>SC13DQ!F158</f>
        <v>6620301.6900000004</v>
      </c>
      <c r="H158" s="704">
        <f>SC13DQ!G158</f>
        <v>6888588.6500000004</v>
      </c>
      <c r="I158" s="38">
        <f t="shared" si="31"/>
        <v>268286.95999999996</v>
      </c>
      <c r="J158" s="189">
        <f t="shared" si="26"/>
        <v>3.8946578701574808E-2</v>
      </c>
      <c r="K158" s="367">
        <f>SC13DQ!J158</f>
        <v>8528534.4800000004</v>
      </c>
    </row>
    <row r="159" spans="1:11" ht="5.0999999999999996" customHeight="1" x14ac:dyDescent="0.25">
      <c r="A159" s="32"/>
      <c r="B159" s="90"/>
      <c r="C159" s="74"/>
      <c r="D159" s="33"/>
      <c r="E159" s="34"/>
      <c r="F159" s="33"/>
      <c r="G159" s="34"/>
      <c r="H159" s="33"/>
      <c r="I159" s="38">
        <f t="shared" si="31"/>
        <v>0</v>
      </c>
      <c r="J159" s="189" t="str">
        <f t="shared" si="26"/>
        <v/>
      </c>
      <c r="K159" s="35"/>
    </row>
    <row r="160" spans="1:11" ht="12.75" customHeight="1" x14ac:dyDescent="0.25">
      <c r="A160" s="29" t="s">
        <v>1235</v>
      </c>
      <c r="B160" s="90"/>
      <c r="C160" s="69">
        <f t="shared" ref="C160:H160" si="35">SUM(C161:C161)</f>
        <v>0</v>
      </c>
      <c r="D160" s="37">
        <f t="shared" si="35"/>
        <v>0</v>
      </c>
      <c r="E160" s="38">
        <f t="shared" si="35"/>
        <v>0</v>
      </c>
      <c r="F160" s="37">
        <f t="shared" si="35"/>
        <v>0</v>
      </c>
      <c r="G160" s="38">
        <f t="shared" si="35"/>
        <v>0</v>
      </c>
      <c r="H160" s="37">
        <f t="shared" si="35"/>
        <v>0</v>
      </c>
      <c r="I160" s="38">
        <f t="shared" si="31"/>
        <v>0</v>
      </c>
      <c r="J160" s="189" t="str">
        <f t="shared" si="26"/>
        <v/>
      </c>
      <c r="K160" s="717">
        <f>SUM(K161)</f>
        <v>0</v>
      </c>
    </row>
    <row r="161" spans="1:11" ht="12.75" customHeight="1" x14ac:dyDescent="0.25">
      <c r="A161" s="30" t="s">
        <v>1235</v>
      </c>
      <c r="B161" s="90"/>
      <c r="C161" s="379">
        <f>SC13DQ!B161</f>
        <v>0</v>
      </c>
      <c r="D161" s="744">
        <f>SC13DQ!C161</f>
        <v>0</v>
      </c>
      <c r="E161" s="331">
        <f>SC13DQ!D161</f>
        <v>0</v>
      </c>
      <c r="F161" s="704">
        <f>SC13DQ!E161</f>
        <v>0</v>
      </c>
      <c r="G161" s="331">
        <f>SC13DQ!F161</f>
        <v>0</v>
      </c>
      <c r="H161" s="704">
        <f>SC13DQ!G161</f>
        <v>0</v>
      </c>
      <c r="I161" s="38">
        <f t="shared" si="31"/>
        <v>0</v>
      </c>
      <c r="J161" s="189" t="str">
        <f t="shared" si="26"/>
        <v/>
      </c>
      <c r="K161" s="367">
        <f>SC13DQ!J161</f>
        <v>0</v>
      </c>
    </row>
    <row r="162" spans="1:11" ht="5.0999999999999996" customHeight="1" x14ac:dyDescent="0.25">
      <c r="A162" s="32"/>
      <c r="B162" s="90"/>
      <c r="C162" s="74"/>
      <c r="D162" s="33"/>
      <c r="E162" s="34"/>
      <c r="F162" s="33"/>
      <c r="G162" s="34"/>
      <c r="H162" s="33"/>
      <c r="I162" s="34"/>
      <c r="J162" s="189" t="str">
        <f t="shared" si="26"/>
        <v/>
      </c>
      <c r="K162" s="35"/>
    </row>
    <row r="163" spans="1:11" ht="12.75" customHeight="1" x14ac:dyDescent="0.25">
      <c r="A163" s="29" t="s">
        <v>1228</v>
      </c>
      <c r="B163" s="90"/>
      <c r="C163" s="69">
        <f t="shared" ref="C163:H163" si="36">SUM(C164:C164)</f>
        <v>0</v>
      </c>
      <c r="D163" s="37">
        <f t="shared" si="36"/>
        <v>0</v>
      </c>
      <c r="E163" s="38">
        <f t="shared" si="36"/>
        <v>0</v>
      </c>
      <c r="F163" s="37">
        <f t="shared" si="36"/>
        <v>0</v>
      </c>
      <c r="G163" s="38">
        <f t="shared" si="36"/>
        <v>0</v>
      </c>
      <c r="H163" s="37">
        <f t="shared" si="36"/>
        <v>0</v>
      </c>
      <c r="I163" s="38">
        <f>H163-G163</f>
        <v>0</v>
      </c>
      <c r="J163" s="189" t="str">
        <f t="shared" si="26"/>
        <v/>
      </c>
      <c r="K163" s="717">
        <f>SUM(K164)</f>
        <v>0</v>
      </c>
    </row>
    <row r="164" spans="1:11" ht="12.75" customHeight="1" x14ac:dyDescent="0.25">
      <c r="A164" s="30" t="s">
        <v>1228</v>
      </c>
      <c r="B164" s="90"/>
      <c r="C164" s="379"/>
      <c r="D164" s="704"/>
      <c r="E164" s="331"/>
      <c r="F164" s="704"/>
      <c r="G164" s="331"/>
      <c r="H164" s="704"/>
      <c r="I164" s="34">
        <f>H164-G164</f>
        <v>0</v>
      </c>
      <c r="J164" s="189" t="str">
        <f t="shared" si="26"/>
        <v/>
      </c>
      <c r="K164" s="367"/>
    </row>
    <row r="165" spans="1:11" ht="5.0999999999999996" customHeight="1" x14ac:dyDescent="0.25">
      <c r="A165" s="30"/>
      <c r="B165" s="90"/>
      <c r="C165" s="74"/>
      <c r="D165" s="33"/>
      <c r="E165" s="34"/>
      <c r="F165" s="33"/>
      <c r="G165" s="34"/>
      <c r="H165" s="33"/>
      <c r="I165" s="34"/>
      <c r="J165" s="189" t="str">
        <f t="shared" si="26"/>
        <v/>
      </c>
      <c r="K165" s="35"/>
    </row>
    <row r="166" spans="1:11" x14ac:dyDescent="0.25">
      <c r="A166" s="616" t="s">
        <v>1342</v>
      </c>
      <c r="B166" s="90"/>
      <c r="C166" s="69">
        <f t="shared" ref="C166:H166" si="37">+C167+C170</f>
        <v>0</v>
      </c>
      <c r="D166" s="37">
        <f t="shared" si="37"/>
        <v>0</v>
      </c>
      <c r="E166" s="38">
        <f t="shared" si="37"/>
        <v>0</v>
      </c>
      <c r="F166" s="37">
        <f t="shared" si="37"/>
        <v>0</v>
      </c>
      <c r="G166" s="38">
        <f t="shared" si="37"/>
        <v>0</v>
      </c>
      <c r="H166" s="37">
        <f t="shared" si="37"/>
        <v>0</v>
      </c>
      <c r="I166" s="38">
        <f t="shared" ref="I166:I172" si="38">H166-G166</f>
        <v>0</v>
      </c>
      <c r="J166" s="189" t="str">
        <f t="shared" si="26"/>
        <v/>
      </c>
      <c r="K166" s="717">
        <f>+K167+K170</f>
        <v>0</v>
      </c>
    </row>
    <row r="167" spans="1:11" x14ac:dyDescent="0.25">
      <c r="A167" s="612" t="s">
        <v>1343</v>
      </c>
      <c r="B167" s="90"/>
      <c r="C167" s="74">
        <f t="shared" ref="C167:H167" si="39">+C168+C169</f>
        <v>0</v>
      </c>
      <c r="D167" s="33">
        <f t="shared" si="39"/>
        <v>0</v>
      </c>
      <c r="E167" s="34">
        <f t="shared" si="39"/>
        <v>0</v>
      </c>
      <c r="F167" s="33">
        <f t="shared" si="39"/>
        <v>0</v>
      </c>
      <c r="G167" s="34">
        <f t="shared" si="39"/>
        <v>0</v>
      </c>
      <c r="H167" s="33">
        <f t="shared" si="39"/>
        <v>0</v>
      </c>
      <c r="I167" s="34">
        <f t="shared" si="38"/>
        <v>0</v>
      </c>
      <c r="J167" s="189" t="str">
        <f t="shared" si="26"/>
        <v/>
      </c>
      <c r="K167" s="35">
        <f>+K168+K169</f>
        <v>0</v>
      </c>
    </row>
    <row r="168" spans="1:11" x14ac:dyDescent="0.25">
      <c r="A168" s="617" t="s">
        <v>1344</v>
      </c>
      <c r="B168" s="90"/>
      <c r="C168" s="379"/>
      <c r="D168" s="365"/>
      <c r="E168" s="331"/>
      <c r="F168" s="704"/>
      <c r="G168" s="331"/>
      <c r="H168" s="704"/>
      <c r="I168" s="34">
        <f t="shared" si="38"/>
        <v>0</v>
      </c>
      <c r="J168" s="189" t="str">
        <f t="shared" si="26"/>
        <v/>
      </c>
      <c r="K168" s="367"/>
    </row>
    <row r="169" spans="1:11" x14ac:dyDescent="0.25">
      <c r="A169" s="617" t="s">
        <v>1345</v>
      </c>
      <c r="B169" s="90"/>
      <c r="C169" s="379"/>
      <c r="D169" s="365"/>
      <c r="E169" s="331"/>
      <c r="F169" s="704"/>
      <c r="G169" s="331"/>
      <c r="H169" s="704"/>
      <c r="I169" s="34">
        <f t="shared" si="38"/>
        <v>0</v>
      </c>
      <c r="J169" s="189" t="str">
        <f t="shared" si="26"/>
        <v/>
      </c>
      <c r="K169" s="367"/>
    </row>
    <row r="170" spans="1:11" x14ac:dyDescent="0.25">
      <c r="A170" s="612" t="s">
        <v>1346</v>
      </c>
      <c r="B170" s="90"/>
      <c r="C170" s="74">
        <f t="shared" ref="C170:H170" si="40">+C171+C172</f>
        <v>0</v>
      </c>
      <c r="D170" s="33">
        <f t="shared" si="40"/>
        <v>0</v>
      </c>
      <c r="E170" s="34">
        <f t="shared" si="40"/>
        <v>0</v>
      </c>
      <c r="F170" s="33">
        <f t="shared" si="40"/>
        <v>0</v>
      </c>
      <c r="G170" s="34">
        <f t="shared" si="40"/>
        <v>0</v>
      </c>
      <c r="H170" s="33">
        <f t="shared" si="40"/>
        <v>0</v>
      </c>
      <c r="I170" s="34">
        <f t="shared" si="38"/>
        <v>0</v>
      </c>
      <c r="J170" s="189" t="str">
        <f t="shared" si="26"/>
        <v/>
      </c>
      <c r="K170" s="35">
        <f>+K171+K172</f>
        <v>0</v>
      </c>
    </row>
    <row r="171" spans="1:11" x14ac:dyDescent="0.25">
      <c r="A171" s="617" t="s">
        <v>1344</v>
      </c>
      <c r="B171" s="90"/>
      <c r="C171" s="379"/>
      <c r="D171" s="366"/>
      <c r="E171" s="415"/>
      <c r="F171" s="704"/>
      <c r="G171" s="331"/>
      <c r="H171" s="704"/>
      <c r="I171" s="34">
        <f t="shared" si="38"/>
        <v>0</v>
      </c>
      <c r="J171" s="189" t="str">
        <f t="shared" si="26"/>
        <v/>
      </c>
      <c r="K171" s="367"/>
    </row>
    <row r="172" spans="1:11" x14ac:dyDescent="0.25">
      <c r="A172" s="617" t="s">
        <v>1345</v>
      </c>
      <c r="B172" s="90"/>
      <c r="C172" s="379"/>
      <c r="D172" s="366"/>
      <c r="E172" s="702"/>
      <c r="F172" s="704"/>
      <c r="G172" s="392"/>
      <c r="H172" s="704"/>
      <c r="I172" s="65">
        <f t="shared" si="38"/>
        <v>0</v>
      </c>
      <c r="J172" s="545" t="str">
        <f t="shared" si="26"/>
        <v/>
      </c>
      <c r="K172" s="367"/>
    </row>
    <row r="173" spans="1:11" x14ac:dyDescent="0.25">
      <c r="A173" s="40" t="s">
        <v>982</v>
      </c>
      <c r="B173" s="130">
        <v>1</v>
      </c>
      <c r="C173" s="71">
        <f t="shared" ref="C173:H173" si="41">C7+C75+C103+C110+C117+C135+C138+C148+C151+C154+C157+C160+C163+C166</f>
        <v>325363993.07999998</v>
      </c>
      <c r="D173" s="42">
        <f t="shared" si="41"/>
        <v>305949500</v>
      </c>
      <c r="E173" s="374">
        <f t="shared" si="41"/>
        <v>352759106.20999998</v>
      </c>
      <c r="F173" s="373">
        <f t="shared" si="41"/>
        <v>28737476.429999992</v>
      </c>
      <c r="G173" s="373">
        <f t="shared" si="41"/>
        <v>290740789.87</v>
      </c>
      <c r="H173" s="373">
        <f t="shared" si="41"/>
        <v>292460851.92000002</v>
      </c>
      <c r="I173" s="328">
        <f>H173-G173</f>
        <v>1720062.0500000119</v>
      </c>
      <c r="J173" s="754">
        <f t="shared" si="26"/>
        <v>5.8813411733838455E-3</v>
      </c>
      <c r="K173" s="129">
        <f>K7+K75+K103+K110+K117+K135+K138+K148+K151+K154+K157+K160+K163+K166</f>
        <v>352759106.20999998</v>
      </c>
    </row>
    <row r="174" spans="1:11" ht="12.75" customHeight="1" x14ac:dyDescent="0.25">
      <c r="A174" s="73"/>
      <c r="C174" s="316"/>
      <c r="D174" s="316"/>
      <c r="E174" s="316"/>
      <c r="F174" s="316"/>
      <c r="G174" s="316"/>
      <c r="H174" s="316"/>
      <c r="I174" s="711"/>
      <c r="J174" s="316"/>
      <c r="K174" s="316"/>
    </row>
    <row r="175" spans="1:11" ht="11.25" customHeight="1" x14ac:dyDescent="0.25">
      <c r="A175" s="73"/>
      <c r="C175" s="316"/>
      <c r="D175" s="316"/>
      <c r="E175" s="316"/>
      <c r="F175" s="316"/>
      <c r="G175" s="316"/>
      <c r="H175" s="316"/>
      <c r="I175" s="316"/>
      <c r="J175" s="316"/>
      <c r="K175" s="316"/>
    </row>
    <row r="176" spans="1:11" ht="11.25" customHeight="1" x14ac:dyDescent="0.25">
      <c r="A176" s="73"/>
      <c r="B176" s="44"/>
      <c r="C176" s="610"/>
      <c r="D176" s="610"/>
      <c r="E176" s="610"/>
      <c r="F176" s="418"/>
      <c r="G176" s="418"/>
      <c r="H176" s="418"/>
      <c r="I176" s="418"/>
      <c r="J176" s="418"/>
      <c r="K176" s="418"/>
    </row>
    <row r="177" spans="1:1" ht="11.25" customHeight="1" x14ac:dyDescent="0.25">
      <c r="A177" s="73"/>
    </row>
    <row r="178" spans="1:1" ht="11.25" customHeight="1" x14ac:dyDescent="0.25">
      <c r="A178" s="73"/>
    </row>
    <row r="179" spans="1:1" ht="11.25" customHeight="1" x14ac:dyDescent="0.25">
      <c r="A179" s="73"/>
    </row>
    <row r="180" spans="1:1" ht="11.25" customHeight="1" x14ac:dyDescent="0.25">
      <c r="A180" s="73"/>
    </row>
    <row r="181" spans="1:1" ht="11.25" customHeight="1" x14ac:dyDescent="0.25">
      <c r="A181" s="73"/>
    </row>
    <row r="182" spans="1:1" ht="11.25" customHeight="1" x14ac:dyDescent="0.25">
      <c r="A182" s="73"/>
    </row>
    <row r="183" spans="1:1" ht="11.25" customHeight="1" x14ac:dyDescent="0.25">
      <c r="A183" s="73"/>
    </row>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sheetData>
  <mergeCells count="3">
    <mergeCell ref="A1:K1"/>
    <mergeCell ref="A2:A3"/>
    <mergeCell ref="B2:B3"/>
  </mergeCells>
  <pageMargins left="1.1417322834645669" right="0.74803149606299213" top="0.98425196850393704" bottom="0.98425196850393704" header="0.51181102362204722" footer="0.51181102362204722"/>
  <pageSetup paperSize="8" scale="110" orientation="portrait" r:id="rId1"/>
  <headerFooter alignWithMargins="0">
    <oddFooter>&amp;L&amp;F&amp;C&amp;A&amp;R&amp;D</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165"/>
  <sheetViews>
    <sheetView topLeftCell="A133" workbookViewId="0">
      <selection activeCell="B165" sqref="B165"/>
    </sheetView>
  </sheetViews>
  <sheetFormatPr defaultRowHeight="12.75" x14ac:dyDescent="0.2"/>
  <cols>
    <col min="1" max="1" width="42.5703125" bestFit="1" customWidth="1"/>
    <col min="2" max="2" width="15" bestFit="1" customWidth="1"/>
    <col min="3" max="3" width="13.5703125" bestFit="1" customWidth="1"/>
    <col min="4" max="4" width="14.28515625" bestFit="1" customWidth="1"/>
    <col min="5" max="5" width="13.7109375" bestFit="1" customWidth="1"/>
    <col min="6" max="6" width="17.85546875" bestFit="1" customWidth="1"/>
    <col min="7" max="7" width="17.7109375" bestFit="1" customWidth="1"/>
    <col min="8" max="8" width="12.42578125" bestFit="1" customWidth="1"/>
    <col min="9" max="9" width="19.7109375" bestFit="1" customWidth="1"/>
    <col min="10" max="10" width="16" bestFit="1" customWidth="1"/>
  </cols>
  <sheetData>
    <row r="1" spans="1:10" x14ac:dyDescent="0.2">
      <c r="A1" s="756" t="s">
        <v>973</v>
      </c>
      <c r="B1" s="660" t="s">
        <v>471</v>
      </c>
      <c r="C1" s="660" t="s">
        <v>558</v>
      </c>
      <c r="D1" s="660" t="s">
        <v>773</v>
      </c>
      <c r="E1" s="660" t="s">
        <v>1545</v>
      </c>
      <c r="F1" s="660" t="s">
        <v>1546</v>
      </c>
      <c r="G1" s="660" t="s">
        <v>1547</v>
      </c>
      <c r="H1" s="660" t="s">
        <v>1548</v>
      </c>
      <c r="I1" s="660" t="s">
        <v>1549</v>
      </c>
      <c r="J1" s="660" t="s">
        <v>774</v>
      </c>
    </row>
    <row r="2" spans="1:10" x14ac:dyDescent="0.2">
      <c r="A2" s="659" t="s">
        <v>2069</v>
      </c>
      <c r="B2" s="661" t="s">
        <v>973</v>
      </c>
      <c r="C2" s="661" t="s">
        <v>973</v>
      </c>
      <c r="D2" s="661" t="s">
        <v>973</v>
      </c>
      <c r="E2" s="661" t="s">
        <v>973</v>
      </c>
      <c r="F2" s="661" t="s">
        <v>973</v>
      </c>
      <c r="G2" s="661" t="s">
        <v>973</v>
      </c>
      <c r="H2" s="661" t="s">
        <v>973</v>
      </c>
      <c r="I2" s="661" t="s">
        <v>528</v>
      </c>
      <c r="J2" s="661" t="s">
        <v>973</v>
      </c>
    </row>
    <row r="3" spans="1:10" x14ac:dyDescent="0.2">
      <c r="A3" s="638" t="s">
        <v>981</v>
      </c>
      <c r="B3" s="637"/>
      <c r="C3" s="637"/>
      <c r="D3" s="637"/>
      <c r="E3" s="637"/>
      <c r="F3" s="637"/>
      <c r="G3" s="637"/>
      <c r="H3" s="637"/>
      <c r="I3" s="637"/>
      <c r="J3" s="637"/>
    </row>
    <row r="4" spans="1:10" x14ac:dyDescent="0.2">
      <c r="A4" s="639" t="s">
        <v>592</v>
      </c>
      <c r="B4" s="637">
        <v>205395080.84999999</v>
      </c>
      <c r="C4" s="637">
        <v>178618700</v>
      </c>
      <c r="D4" s="637">
        <v>217132557.13999999</v>
      </c>
      <c r="E4" s="637">
        <v>17732466.399999999</v>
      </c>
      <c r="F4" s="637">
        <v>179903290.84999999</v>
      </c>
      <c r="G4" s="637">
        <v>180463961.5</v>
      </c>
      <c r="H4" s="637">
        <v>560670.65</v>
      </c>
      <c r="I4" s="637">
        <v>418.64448285114003</v>
      </c>
      <c r="J4" s="637">
        <v>217132557.13999999</v>
      </c>
    </row>
    <row r="5" spans="1:10" x14ac:dyDescent="0.2">
      <c r="A5" s="640" t="s">
        <v>1119</v>
      </c>
      <c r="B5" s="637">
        <v>57330338.530000001</v>
      </c>
      <c r="C5" s="637">
        <v>41605400</v>
      </c>
      <c r="D5" s="637">
        <v>52471962.149999999</v>
      </c>
      <c r="E5" s="637">
        <v>4301188.9400000004</v>
      </c>
      <c r="F5" s="637">
        <v>43585424.960000001</v>
      </c>
      <c r="G5" s="637">
        <v>43639597.539999999</v>
      </c>
      <c r="H5" s="637">
        <v>54172.58</v>
      </c>
      <c r="I5" s="637">
        <v>0.164502370746513</v>
      </c>
      <c r="J5" s="637">
        <v>52471962.149999999</v>
      </c>
    </row>
    <row r="6" spans="1:10" x14ac:dyDescent="0.2">
      <c r="A6" s="641" t="s">
        <v>150</v>
      </c>
      <c r="B6" s="637">
        <v>50406792.740000002</v>
      </c>
      <c r="C6" s="637">
        <v>35567300</v>
      </c>
      <c r="D6" s="637">
        <v>45369313.259999998</v>
      </c>
      <c r="E6" s="637">
        <v>3717565.57</v>
      </c>
      <c r="F6" s="637">
        <v>37671333.619999997</v>
      </c>
      <c r="G6" s="637">
        <v>37724824.390000001</v>
      </c>
      <c r="H6" s="637">
        <v>53490.77</v>
      </c>
      <c r="I6" s="637">
        <v>0.14179196554240101</v>
      </c>
      <c r="J6" s="637">
        <v>45369313.259999998</v>
      </c>
    </row>
    <row r="7" spans="1:10" x14ac:dyDescent="0.2">
      <c r="A7" s="641" t="s">
        <v>1120</v>
      </c>
      <c r="B7" s="637">
        <v>3578717.48</v>
      </c>
      <c r="C7" s="637">
        <v>3620600</v>
      </c>
      <c r="D7" s="637">
        <v>3605605.57</v>
      </c>
      <c r="E7" s="637">
        <v>296202.19</v>
      </c>
      <c r="F7" s="637">
        <v>3001510.33</v>
      </c>
      <c r="G7" s="637">
        <v>3002192.14</v>
      </c>
      <c r="H7" s="637">
        <v>681.81</v>
      </c>
      <c r="I7" s="637">
        <v>2.2710405204112001E-2</v>
      </c>
      <c r="J7" s="637">
        <v>3605605.57</v>
      </c>
    </row>
    <row r="8" spans="1:10" x14ac:dyDescent="0.2">
      <c r="A8" s="641" t="s">
        <v>1121</v>
      </c>
      <c r="B8" s="637">
        <v>3344828.31</v>
      </c>
      <c r="C8" s="637">
        <v>2417500</v>
      </c>
      <c r="D8" s="637">
        <v>3497043.32</v>
      </c>
      <c r="E8" s="637">
        <v>287421.18</v>
      </c>
      <c r="F8" s="637">
        <v>2912581.01</v>
      </c>
      <c r="G8" s="637">
        <v>2912581.01</v>
      </c>
      <c r="H8" s="637">
        <v>0</v>
      </c>
      <c r="I8" s="637">
        <v>0</v>
      </c>
      <c r="J8" s="637">
        <v>3497043.32</v>
      </c>
    </row>
    <row r="9" spans="1:10" x14ac:dyDescent="0.2">
      <c r="A9" s="641" t="s">
        <v>1122</v>
      </c>
      <c r="B9" s="637"/>
      <c r="C9" s="637"/>
      <c r="D9" s="637"/>
      <c r="E9" s="637"/>
      <c r="F9" s="637"/>
      <c r="G9" s="637"/>
      <c r="H9" s="637"/>
      <c r="I9" s="637"/>
      <c r="J9" s="637"/>
    </row>
    <row r="10" spans="1:10" x14ac:dyDescent="0.2">
      <c r="A10" s="640" t="s">
        <v>1123</v>
      </c>
      <c r="B10" s="637">
        <v>18133767.949999999</v>
      </c>
      <c r="C10" s="637">
        <v>18102300</v>
      </c>
      <c r="D10" s="637">
        <v>18452488.859999999</v>
      </c>
      <c r="E10" s="637">
        <v>1509856.26</v>
      </c>
      <c r="F10" s="637">
        <v>15299675.17</v>
      </c>
      <c r="G10" s="637">
        <v>15331543.42</v>
      </c>
      <c r="H10" s="637">
        <v>31868.25</v>
      </c>
      <c r="I10" s="637">
        <v>0.26208185035374498</v>
      </c>
      <c r="J10" s="637">
        <v>18452488.859999999</v>
      </c>
    </row>
    <row r="11" spans="1:10" x14ac:dyDescent="0.2">
      <c r="A11" s="641" t="s">
        <v>1124</v>
      </c>
      <c r="B11" s="637">
        <v>3670995.88</v>
      </c>
      <c r="C11" s="637">
        <v>3430900</v>
      </c>
      <c r="D11" s="637">
        <v>3804556.49</v>
      </c>
      <c r="E11" s="637">
        <v>312724.77</v>
      </c>
      <c r="F11" s="637">
        <v>3168740.71</v>
      </c>
      <c r="G11" s="637">
        <v>3168740.71</v>
      </c>
      <c r="H11" s="637">
        <v>0</v>
      </c>
      <c r="I11" s="637">
        <v>0</v>
      </c>
      <c r="J11" s="637">
        <v>3804556.49</v>
      </c>
    </row>
    <row r="12" spans="1:10" x14ac:dyDescent="0.2">
      <c r="A12" s="641" t="s">
        <v>1125</v>
      </c>
      <c r="B12" s="637">
        <v>14458993.289999999</v>
      </c>
      <c r="C12" s="637">
        <v>14667600</v>
      </c>
      <c r="D12" s="637">
        <v>14644153.59</v>
      </c>
      <c r="E12" s="637">
        <v>1196820.8999999999</v>
      </c>
      <c r="F12" s="637">
        <v>12127787.199999999</v>
      </c>
      <c r="G12" s="637">
        <v>12159655.449999999</v>
      </c>
      <c r="H12" s="637">
        <v>31868.25</v>
      </c>
      <c r="I12" s="637">
        <v>0.26208185035374498</v>
      </c>
      <c r="J12" s="637">
        <v>14644153.59</v>
      </c>
    </row>
    <row r="13" spans="1:10" x14ac:dyDescent="0.2">
      <c r="A13" s="641" t="s">
        <v>1126</v>
      </c>
      <c r="B13" s="637">
        <v>3778.78</v>
      </c>
      <c r="C13" s="637">
        <v>3800</v>
      </c>
      <c r="D13" s="637">
        <v>3778.78</v>
      </c>
      <c r="E13" s="637">
        <v>310.58999999999997</v>
      </c>
      <c r="F13" s="637">
        <v>3147.26</v>
      </c>
      <c r="G13" s="637">
        <v>3147.26</v>
      </c>
      <c r="H13" s="637">
        <v>0</v>
      </c>
      <c r="I13" s="637">
        <v>0</v>
      </c>
      <c r="J13" s="637">
        <v>3778.78</v>
      </c>
    </row>
    <row r="14" spans="1:10" x14ac:dyDescent="0.2">
      <c r="A14" s="640" t="s">
        <v>1127</v>
      </c>
      <c r="B14" s="637">
        <v>26168952.239999998</v>
      </c>
      <c r="C14" s="637">
        <v>23390000</v>
      </c>
      <c r="D14" s="637">
        <v>28404429.449999999</v>
      </c>
      <c r="E14" s="637">
        <v>2316846.69</v>
      </c>
      <c r="F14" s="637">
        <v>23476519.600000001</v>
      </c>
      <c r="G14" s="637">
        <v>23569785.390000001</v>
      </c>
      <c r="H14" s="637">
        <v>93265.79</v>
      </c>
      <c r="I14" s="637">
        <v>2.1509126768887401</v>
      </c>
      <c r="J14" s="637">
        <v>28404429.449999999</v>
      </c>
    </row>
    <row r="15" spans="1:10" x14ac:dyDescent="0.2">
      <c r="A15" s="641" t="s">
        <v>1128</v>
      </c>
      <c r="B15" s="637"/>
      <c r="C15" s="637"/>
      <c r="D15" s="637"/>
      <c r="E15" s="637"/>
      <c r="F15" s="637"/>
      <c r="G15" s="637"/>
      <c r="H15" s="637"/>
      <c r="I15" s="637"/>
      <c r="J15" s="637"/>
    </row>
    <row r="16" spans="1:10" x14ac:dyDescent="0.2">
      <c r="A16" s="641" t="s">
        <v>1129</v>
      </c>
      <c r="B16" s="637">
        <v>9628616.9499999993</v>
      </c>
      <c r="C16" s="637">
        <v>9135000</v>
      </c>
      <c r="D16" s="637">
        <v>10531785.689999999</v>
      </c>
      <c r="E16" s="637">
        <v>865625.99</v>
      </c>
      <c r="F16" s="637">
        <v>8771678.9100000001</v>
      </c>
      <c r="G16" s="637">
        <v>8771678.9100000001</v>
      </c>
      <c r="H16" s="637">
        <v>0</v>
      </c>
      <c r="I16" s="637">
        <v>0</v>
      </c>
      <c r="J16" s="637">
        <v>10531785.689999999</v>
      </c>
    </row>
    <row r="17" spans="1:10" x14ac:dyDescent="0.2">
      <c r="A17" s="641" t="s">
        <v>1130</v>
      </c>
      <c r="B17" s="637">
        <v>1221142.99</v>
      </c>
      <c r="C17" s="637"/>
      <c r="D17" s="637"/>
      <c r="E17" s="637"/>
      <c r="F17" s="637"/>
      <c r="G17" s="637"/>
      <c r="H17" s="637"/>
      <c r="I17" s="637"/>
      <c r="J17" s="637"/>
    </row>
    <row r="18" spans="1:10" x14ac:dyDescent="0.2">
      <c r="A18" s="641" t="s">
        <v>1131</v>
      </c>
      <c r="B18" s="637">
        <v>1259012.6299999999</v>
      </c>
      <c r="C18" s="637">
        <v>1264000</v>
      </c>
      <c r="D18" s="637">
        <v>2901087.52</v>
      </c>
      <c r="E18" s="637">
        <v>232952.56</v>
      </c>
      <c r="F18" s="637">
        <v>2360586.29</v>
      </c>
      <c r="G18" s="637">
        <v>2392305.7000000002</v>
      </c>
      <c r="H18" s="637">
        <v>31719.41</v>
      </c>
      <c r="I18" s="637">
        <v>1.32589284053455</v>
      </c>
      <c r="J18" s="637">
        <v>2901087.52</v>
      </c>
    </row>
    <row r="19" spans="1:10" x14ac:dyDescent="0.2">
      <c r="A19" s="641" t="s">
        <v>1132</v>
      </c>
      <c r="B19" s="637">
        <v>1735818.58</v>
      </c>
      <c r="C19" s="637">
        <v>1588200</v>
      </c>
      <c r="D19" s="637">
        <v>1582193.45</v>
      </c>
      <c r="E19" s="637">
        <v>130042.27</v>
      </c>
      <c r="F19" s="637">
        <v>1317771.45</v>
      </c>
      <c r="G19" s="637">
        <v>1317771.45</v>
      </c>
      <c r="H19" s="637">
        <v>0</v>
      </c>
      <c r="I19" s="637">
        <v>0</v>
      </c>
      <c r="J19" s="637">
        <v>1582193.45</v>
      </c>
    </row>
    <row r="20" spans="1:10" x14ac:dyDescent="0.2">
      <c r="A20" s="641" t="s">
        <v>1133</v>
      </c>
      <c r="B20" s="637"/>
      <c r="C20" s="637"/>
      <c r="D20" s="637"/>
      <c r="E20" s="637"/>
      <c r="F20" s="637"/>
      <c r="G20" s="637"/>
      <c r="H20" s="637"/>
      <c r="I20" s="637"/>
      <c r="J20" s="637"/>
    </row>
    <row r="21" spans="1:10" x14ac:dyDescent="0.2">
      <c r="A21" s="641" t="s">
        <v>1134</v>
      </c>
      <c r="B21" s="637">
        <v>8988366.6799999997</v>
      </c>
      <c r="C21" s="637">
        <v>8240300</v>
      </c>
      <c r="D21" s="637">
        <v>9770677.5800000001</v>
      </c>
      <c r="E21" s="637">
        <v>791677.19</v>
      </c>
      <c r="F21" s="637">
        <v>8022326.9500000002</v>
      </c>
      <c r="G21" s="637">
        <v>8080837.4000000004</v>
      </c>
      <c r="H21" s="637">
        <v>58510.45</v>
      </c>
      <c r="I21" s="637">
        <v>0.72406419166409597</v>
      </c>
      <c r="J21" s="637">
        <v>9770677.5800000001</v>
      </c>
    </row>
    <row r="22" spans="1:10" x14ac:dyDescent="0.2">
      <c r="A22" s="641" t="s">
        <v>1135</v>
      </c>
      <c r="B22" s="637">
        <v>3335994.41</v>
      </c>
      <c r="C22" s="637">
        <v>3162500</v>
      </c>
      <c r="D22" s="637">
        <v>3618685.21</v>
      </c>
      <c r="E22" s="637">
        <v>296548.68</v>
      </c>
      <c r="F22" s="637">
        <v>3004156</v>
      </c>
      <c r="G22" s="637">
        <v>3007191.93</v>
      </c>
      <c r="H22" s="637">
        <v>3035.93</v>
      </c>
      <c r="I22" s="637">
        <v>0.10095564469009501</v>
      </c>
      <c r="J22" s="637">
        <v>3618685.21</v>
      </c>
    </row>
    <row r="23" spans="1:10" x14ac:dyDescent="0.2">
      <c r="A23" s="641" t="s">
        <v>1122</v>
      </c>
      <c r="B23" s="637"/>
      <c r="C23" s="637"/>
      <c r="D23" s="637"/>
      <c r="E23" s="637"/>
      <c r="F23" s="637"/>
      <c r="G23" s="637"/>
      <c r="H23" s="637"/>
      <c r="I23" s="637"/>
      <c r="J23" s="637"/>
    </row>
    <row r="24" spans="1:10" x14ac:dyDescent="0.2">
      <c r="A24" s="640" t="s">
        <v>1136</v>
      </c>
      <c r="B24" s="637">
        <v>61076511.479999997</v>
      </c>
      <c r="C24" s="637">
        <v>56327600</v>
      </c>
      <c r="D24" s="637">
        <v>70776566.480000004</v>
      </c>
      <c r="E24" s="637">
        <v>5749919.1600000001</v>
      </c>
      <c r="F24" s="637">
        <v>58266286.100000001</v>
      </c>
      <c r="G24" s="637">
        <v>58598960.32</v>
      </c>
      <c r="H24" s="637">
        <v>332674.21999999997</v>
      </c>
      <c r="I24" s="637">
        <v>9.4904562560217602</v>
      </c>
      <c r="J24" s="637">
        <v>70776566.480000004</v>
      </c>
    </row>
    <row r="25" spans="1:10" x14ac:dyDescent="0.2">
      <c r="A25" s="641" t="s">
        <v>1137</v>
      </c>
      <c r="B25" s="637"/>
      <c r="C25" s="637"/>
      <c r="D25" s="637"/>
      <c r="E25" s="637"/>
      <c r="F25" s="637"/>
      <c r="G25" s="637"/>
      <c r="H25" s="637"/>
      <c r="I25" s="637"/>
      <c r="J25" s="637"/>
    </row>
    <row r="26" spans="1:10" x14ac:dyDescent="0.2">
      <c r="A26" s="641" t="s">
        <v>1138</v>
      </c>
      <c r="B26" s="637">
        <v>43307.3</v>
      </c>
      <c r="C26" s="637">
        <v>63500</v>
      </c>
      <c r="D26" s="637">
        <v>43307.28</v>
      </c>
      <c r="E26" s="637">
        <v>3559.46</v>
      </c>
      <c r="F26" s="637">
        <v>36069.599999999999</v>
      </c>
      <c r="G26" s="637">
        <v>36069.599999999999</v>
      </c>
      <c r="H26" s="637">
        <v>0</v>
      </c>
      <c r="I26" s="637">
        <v>0</v>
      </c>
      <c r="J26" s="637">
        <v>43307.28</v>
      </c>
    </row>
    <row r="27" spans="1:10" x14ac:dyDescent="0.2">
      <c r="A27" s="641" t="s">
        <v>1139</v>
      </c>
      <c r="B27" s="637">
        <v>7063474.8300000001</v>
      </c>
      <c r="C27" s="637">
        <v>6260700</v>
      </c>
      <c r="D27" s="637">
        <v>7400483.29</v>
      </c>
      <c r="E27" s="637">
        <v>608259.14</v>
      </c>
      <c r="F27" s="637">
        <v>6163690.4500000002</v>
      </c>
      <c r="G27" s="637">
        <v>6163690.4500000002</v>
      </c>
      <c r="H27" s="637">
        <v>0</v>
      </c>
      <c r="I27" s="637">
        <v>0</v>
      </c>
      <c r="J27" s="637">
        <v>7400483.29</v>
      </c>
    </row>
    <row r="28" spans="1:10" x14ac:dyDescent="0.2">
      <c r="A28" s="641" t="s">
        <v>1140</v>
      </c>
      <c r="B28" s="637">
        <v>468975.48</v>
      </c>
      <c r="C28" s="637">
        <v>382500</v>
      </c>
      <c r="D28" s="637">
        <v>810604.54</v>
      </c>
      <c r="E28" s="637">
        <v>56328.25</v>
      </c>
      <c r="F28" s="637">
        <v>570793.73</v>
      </c>
      <c r="G28" s="637">
        <v>621238.30000000005</v>
      </c>
      <c r="H28" s="637">
        <v>50444.57</v>
      </c>
      <c r="I28" s="637">
        <v>8.1200032258152799</v>
      </c>
      <c r="J28" s="637">
        <v>810604.54</v>
      </c>
    </row>
    <row r="29" spans="1:10" x14ac:dyDescent="0.2">
      <c r="A29" s="641" t="s">
        <v>1141</v>
      </c>
      <c r="B29" s="637">
        <v>8873082.3100000005</v>
      </c>
      <c r="C29" s="637">
        <v>5834400</v>
      </c>
      <c r="D29" s="637">
        <v>10884569.800000001</v>
      </c>
      <c r="E29" s="637">
        <v>894622.2</v>
      </c>
      <c r="F29" s="637">
        <v>9065504.3499999996</v>
      </c>
      <c r="G29" s="637">
        <v>9065504.3499999996</v>
      </c>
      <c r="H29" s="637">
        <v>0</v>
      </c>
      <c r="I29" s="637">
        <v>0</v>
      </c>
      <c r="J29" s="637">
        <v>10884569.800000001</v>
      </c>
    </row>
    <row r="30" spans="1:10" x14ac:dyDescent="0.2">
      <c r="A30" s="641" t="s">
        <v>1142</v>
      </c>
      <c r="B30" s="637">
        <v>26460983.949999999</v>
      </c>
      <c r="C30" s="637">
        <v>26316500</v>
      </c>
      <c r="D30" s="637">
        <v>26691493.449999999</v>
      </c>
      <c r="E30" s="637">
        <v>2190287.36</v>
      </c>
      <c r="F30" s="637">
        <v>22194902.640000001</v>
      </c>
      <c r="G30" s="637">
        <v>22211429.969999999</v>
      </c>
      <c r="H30" s="637">
        <v>16527.330000000002</v>
      </c>
      <c r="I30" s="637">
        <v>7.4409121890498406E-2</v>
      </c>
      <c r="J30" s="637">
        <v>26691493.449999999</v>
      </c>
    </row>
    <row r="31" spans="1:10" x14ac:dyDescent="0.2">
      <c r="A31" s="641" t="s">
        <v>1143</v>
      </c>
      <c r="B31" s="637">
        <v>18166687.609999999</v>
      </c>
      <c r="C31" s="637">
        <v>17470000</v>
      </c>
      <c r="D31" s="637">
        <v>24946108.120000001</v>
      </c>
      <c r="E31" s="637">
        <v>1996862.75</v>
      </c>
      <c r="F31" s="637">
        <v>20235325.329999998</v>
      </c>
      <c r="G31" s="637">
        <v>20501027.649999999</v>
      </c>
      <c r="H31" s="637">
        <v>265702.32</v>
      </c>
      <c r="I31" s="637">
        <v>1.29604390831598</v>
      </c>
      <c r="J31" s="637">
        <v>24946108.120000001</v>
      </c>
    </row>
    <row r="32" spans="1:10" x14ac:dyDescent="0.2">
      <c r="A32" s="641" t="s">
        <v>1144</v>
      </c>
      <c r="B32" s="637"/>
      <c r="C32" s="637"/>
      <c r="D32" s="637"/>
      <c r="E32" s="637"/>
      <c r="F32" s="637"/>
      <c r="G32" s="637"/>
      <c r="H32" s="637"/>
      <c r="I32" s="637"/>
      <c r="J32" s="637"/>
    </row>
    <row r="33" spans="1:10" x14ac:dyDescent="0.2">
      <c r="A33" s="641" t="s">
        <v>1145</v>
      </c>
      <c r="B33" s="637"/>
      <c r="C33" s="637"/>
      <c r="D33" s="637"/>
      <c r="E33" s="637"/>
      <c r="F33" s="637"/>
      <c r="G33" s="637"/>
      <c r="H33" s="637"/>
      <c r="I33" s="637"/>
      <c r="J33" s="637"/>
    </row>
    <row r="34" spans="1:10" x14ac:dyDescent="0.2">
      <c r="A34" s="641" t="s">
        <v>1122</v>
      </c>
      <c r="B34" s="637"/>
      <c r="C34" s="637"/>
      <c r="D34" s="637"/>
      <c r="E34" s="637"/>
      <c r="F34" s="637"/>
      <c r="G34" s="637"/>
      <c r="H34" s="637"/>
      <c r="I34" s="637"/>
      <c r="J34" s="637"/>
    </row>
    <row r="35" spans="1:10" x14ac:dyDescent="0.2">
      <c r="A35" s="640" t="s">
        <v>1146</v>
      </c>
      <c r="B35" s="637">
        <v>39221100.380000003</v>
      </c>
      <c r="C35" s="637">
        <v>35804000</v>
      </c>
      <c r="D35" s="637">
        <v>43205714.390000001</v>
      </c>
      <c r="E35" s="637">
        <v>3549672.07</v>
      </c>
      <c r="F35" s="637">
        <v>36184886.93</v>
      </c>
      <c r="G35" s="637">
        <v>36191694.68</v>
      </c>
      <c r="H35" s="637">
        <v>6807.75</v>
      </c>
      <c r="I35" s="637">
        <v>0.29500259339041102</v>
      </c>
      <c r="J35" s="637">
        <v>43205714.390000001</v>
      </c>
    </row>
    <row r="36" spans="1:10" x14ac:dyDescent="0.2">
      <c r="A36" s="641" t="s">
        <v>1147</v>
      </c>
      <c r="B36" s="637">
        <v>5896959.1699999999</v>
      </c>
      <c r="C36" s="637">
        <v>4897600</v>
      </c>
      <c r="D36" s="637">
        <v>9445286.9399999995</v>
      </c>
      <c r="E36" s="637">
        <v>776324.8</v>
      </c>
      <c r="F36" s="637">
        <v>7866758.8200000003</v>
      </c>
      <c r="G36" s="637">
        <v>7866758.8200000003</v>
      </c>
      <c r="H36" s="637">
        <v>0</v>
      </c>
      <c r="I36" s="637">
        <v>0</v>
      </c>
      <c r="J36" s="637">
        <v>9445286.9399999995</v>
      </c>
    </row>
    <row r="37" spans="1:10" x14ac:dyDescent="0.2">
      <c r="A37" s="641" t="s">
        <v>117</v>
      </c>
      <c r="B37" s="637">
        <v>23806438.850000001</v>
      </c>
      <c r="C37" s="637">
        <v>24296300</v>
      </c>
      <c r="D37" s="637">
        <v>23677981.350000001</v>
      </c>
      <c r="E37" s="637">
        <v>1945687.4</v>
      </c>
      <c r="F37" s="637">
        <v>19929012.600000001</v>
      </c>
      <c r="G37" s="637">
        <v>19931320.289999999</v>
      </c>
      <c r="H37" s="637">
        <v>2307.69</v>
      </c>
      <c r="I37" s="637">
        <v>1.1578209403206601E-2</v>
      </c>
      <c r="J37" s="637">
        <v>23677981.350000001</v>
      </c>
    </row>
    <row r="38" spans="1:10" x14ac:dyDescent="0.2">
      <c r="A38" s="641" t="s">
        <v>1148</v>
      </c>
      <c r="B38" s="637">
        <v>7709232.3799999999</v>
      </c>
      <c r="C38" s="637">
        <v>4783200</v>
      </c>
      <c r="D38" s="637">
        <v>8171815.3700000001</v>
      </c>
      <c r="E38" s="637">
        <v>671418.76</v>
      </c>
      <c r="F38" s="637">
        <v>6805869.3300000001</v>
      </c>
      <c r="G38" s="637">
        <v>6805869.3300000001</v>
      </c>
      <c r="H38" s="637">
        <v>0</v>
      </c>
      <c r="I38" s="637">
        <v>0</v>
      </c>
      <c r="J38" s="637">
        <v>8171815.3700000001</v>
      </c>
    </row>
    <row r="39" spans="1:10" x14ac:dyDescent="0.2">
      <c r="A39" s="641" t="s">
        <v>1149</v>
      </c>
      <c r="B39" s="637">
        <v>1808469.98</v>
      </c>
      <c r="C39" s="637">
        <v>1826900</v>
      </c>
      <c r="D39" s="637">
        <v>1910630.73</v>
      </c>
      <c r="E39" s="637">
        <v>156241.10999999999</v>
      </c>
      <c r="F39" s="637">
        <v>1583246.18</v>
      </c>
      <c r="G39" s="637">
        <v>1587746.24</v>
      </c>
      <c r="H39" s="637">
        <v>4500.0600000000004</v>
      </c>
      <c r="I39" s="637">
        <v>0.28342438398720399</v>
      </c>
      <c r="J39" s="637">
        <v>1910630.73</v>
      </c>
    </row>
    <row r="40" spans="1:10" x14ac:dyDescent="0.2">
      <c r="A40" s="641" t="s">
        <v>1150</v>
      </c>
      <c r="B40" s="637"/>
      <c r="C40" s="637"/>
      <c r="D40" s="637"/>
      <c r="E40" s="637"/>
      <c r="F40" s="637"/>
      <c r="G40" s="637"/>
      <c r="H40" s="637"/>
      <c r="I40" s="637"/>
      <c r="J40" s="637"/>
    </row>
    <row r="41" spans="1:10" x14ac:dyDescent="0.2">
      <c r="A41" s="641" t="s">
        <v>1122</v>
      </c>
      <c r="B41" s="637"/>
      <c r="C41" s="637"/>
      <c r="D41" s="637"/>
      <c r="E41" s="637"/>
      <c r="F41" s="637"/>
      <c r="G41" s="637"/>
      <c r="H41" s="637"/>
      <c r="I41" s="637"/>
      <c r="J41" s="637"/>
    </row>
    <row r="42" spans="1:10" x14ac:dyDescent="0.2">
      <c r="A42" s="640" t="s">
        <v>1151</v>
      </c>
      <c r="B42" s="637">
        <v>644223.31000000006</v>
      </c>
      <c r="C42" s="637">
        <v>517700</v>
      </c>
      <c r="D42" s="637">
        <v>657364.17000000004</v>
      </c>
      <c r="E42" s="637">
        <v>52949.9</v>
      </c>
      <c r="F42" s="637">
        <v>536558.56000000006</v>
      </c>
      <c r="G42" s="637">
        <v>538831.29</v>
      </c>
      <c r="H42" s="637">
        <v>2272.73</v>
      </c>
      <c r="I42" s="637">
        <v>6.2815271037393199</v>
      </c>
      <c r="J42" s="637">
        <v>657364.17000000004</v>
      </c>
    </row>
    <row r="43" spans="1:10" x14ac:dyDescent="0.2">
      <c r="A43" s="641" t="s">
        <v>1152</v>
      </c>
      <c r="B43" s="637"/>
      <c r="C43" s="637"/>
      <c r="D43" s="637"/>
      <c r="E43" s="637"/>
      <c r="F43" s="637"/>
      <c r="G43" s="637"/>
      <c r="H43" s="637"/>
      <c r="I43" s="637"/>
      <c r="J43" s="637"/>
    </row>
    <row r="44" spans="1:10" x14ac:dyDescent="0.2">
      <c r="A44" s="641" t="s">
        <v>1153</v>
      </c>
      <c r="B44" s="637">
        <v>40712.449999999997</v>
      </c>
      <c r="C44" s="637">
        <v>53400</v>
      </c>
      <c r="D44" s="637">
        <v>53853.35</v>
      </c>
      <c r="E44" s="637">
        <v>3346.24</v>
      </c>
      <c r="F44" s="637">
        <v>33908.44</v>
      </c>
      <c r="G44" s="637">
        <v>36181.17</v>
      </c>
      <c r="H44" s="637">
        <v>2272.73</v>
      </c>
      <c r="I44" s="637">
        <v>6.2815271037393199</v>
      </c>
      <c r="J44" s="637">
        <v>53853.35</v>
      </c>
    </row>
    <row r="45" spans="1:10" x14ac:dyDescent="0.2">
      <c r="A45" s="641" t="s">
        <v>1154</v>
      </c>
      <c r="B45" s="637"/>
      <c r="C45" s="637"/>
      <c r="D45" s="637"/>
      <c r="E45" s="637"/>
      <c r="F45" s="637"/>
      <c r="G45" s="637"/>
      <c r="H45" s="637"/>
      <c r="I45" s="637"/>
      <c r="J45" s="637"/>
    </row>
    <row r="46" spans="1:10" x14ac:dyDescent="0.2">
      <c r="A46" s="641" t="s">
        <v>1155</v>
      </c>
      <c r="B46" s="637"/>
      <c r="C46" s="637"/>
      <c r="D46" s="637"/>
      <c r="E46" s="637"/>
      <c r="F46" s="637"/>
      <c r="G46" s="637"/>
      <c r="H46" s="637"/>
      <c r="I46" s="637"/>
      <c r="J46" s="637"/>
    </row>
    <row r="47" spans="1:10" x14ac:dyDescent="0.2">
      <c r="A47" s="641" t="s">
        <v>1156</v>
      </c>
      <c r="B47" s="637">
        <v>603510.86</v>
      </c>
      <c r="C47" s="637">
        <v>464300</v>
      </c>
      <c r="D47" s="637">
        <v>603510.81999999995</v>
      </c>
      <c r="E47" s="637">
        <v>49603.66</v>
      </c>
      <c r="F47" s="637">
        <v>502650.12</v>
      </c>
      <c r="G47" s="637">
        <v>502650.12</v>
      </c>
      <c r="H47" s="637">
        <v>0</v>
      </c>
      <c r="I47" s="637">
        <v>0</v>
      </c>
      <c r="J47" s="637">
        <v>603510.81999999995</v>
      </c>
    </row>
    <row r="48" spans="1:10" x14ac:dyDescent="0.2">
      <c r="A48" s="641" t="s">
        <v>1157</v>
      </c>
      <c r="B48" s="637"/>
      <c r="C48" s="637"/>
      <c r="D48" s="637"/>
      <c r="E48" s="637"/>
      <c r="F48" s="637"/>
      <c r="G48" s="637"/>
      <c r="H48" s="637"/>
      <c r="I48" s="637"/>
      <c r="J48" s="637"/>
    </row>
    <row r="49" spans="1:10" x14ac:dyDescent="0.2">
      <c r="A49" s="641" t="s">
        <v>1122</v>
      </c>
      <c r="B49" s="637"/>
      <c r="C49" s="637"/>
      <c r="D49" s="637"/>
      <c r="E49" s="637"/>
      <c r="F49" s="637"/>
      <c r="G49" s="637"/>
      <c r="H49" s="637"/>
      <c r="I49" s="637"/>
      <c r="J49" s="637"/>
    </row>
    <row r="50" spans="1:10" x14ac:dyDescent="0.2">
      <c r="A50" s="640" t="s">
        <v>1158</v>
      </c>
      <c r="B50" s="637">
        <v>80157.600000000006</v>
      </c>
      <c r="C50" s="637">
        <v>112100</v>
      </c>
      <c r="D50" s="637">
        <v>91879.45</v>
      </c>
      <c r="E50" s="637">
        <v>6560.58</v>
      </c>
      <c r="F50" s="637">
        <v>66481.37</v>
      </c>
      <c r="G50" s="637">
        <v>71648.960000000006</v>
      </c>
      <c r="H50" s="637">
        <v>5167.59</v>
      </c>
      <c r="I50" s="637">
        <v>100</v>
      </c>
      <c r="J50" s="637">
        <v>91879.45</v>
      </c>
    </row>
    <row r="51" spans="1:10" x14ac:dyDescent="0.2">
      <c r="A51" s="641" t="s">
        <v>1159</v>
      </c>
      <c r="B51" s="637">
        <v>80157.600000000006</v>
      </c>
      <c r="C51" s="637">
        <v>85400</v>
      </c>
      <c r="D51" s="637">
        <v>79821.460000000006</v>
      </c>
      <c r="E51" s="637">
        <v>6560.58</v>
      </c>
      <c r="F51" s="637">
        <v>66481.37</v>
      </c>
      <c r="G51" s="637">
        <v>66481.37</v>
      </c>
      <c r="H51" s="637">
        <v>0</v>
      </c>
      <c r="I51" s="637">
        <v>0</v>
      </c>
      <c r="J51" s="637">
        <v>79821.460000000006</v>
      </c>
    </row>
    <row r="52" spans="1:10" x14ac:dyDescent="0.2">
      <c r="A52" s="641" t="s">
        <v>1160</v>
      </c>
      <c r="B52" s="637">
        <v>0</v>
      </c>
      <c r="C52" s="637">
        <v>26700</v>
      </c>
      <c r="D52" s="637">
        <v>12057.99</v>
      </c>
      <c r="E52" s="637"/>
      <c r="F52" s="637">
        <v>0</v>
      </c>
      <c r="G52" s="637">
        <v>5167.59</v>
      </c>
      <c r="H52" s="637">
        <v>5167.59</v>
      </c>
      <c r="I52" s="637">
        <v>100</v>
      </c>
      <c r="J52" s="637">
        <v>12057.99</v>
      </c>
    </row>
    <row r="53" spans="1:10" x14ac:dyDescent="0.2">
      <c r="A53" s="641" t="s">
        <v>1161</v>
      </c>
      <c r="B53" s="637"/>
      <c r="C53" s="637"/>
      <c r="D53" s="637"/>
      <c r="E53" s="637"/>
      <c r="F53" s="637"/>
      <c r="G53" s="637"/>
      <c r="H53" s="637"/>
      <c r="I53" s="637"/>
      <c r="J53" s="637"/>
    </row>
    <row r="54" spans="1:10" x14ac:dyDescent="0.2">
      <c r="A54" s="641" t="s">
        <v>1124</v>
      </c>
      <c r="B54" s="637"/>
      <c r="C54" s="637"/>
      <c r="D54" s="637"/>
      <c r="E54" s="637"/>
      <c r="F54" s="637"/>
      <c r="G54" s="637"/>
      <c r="H54" s="637"/>
      <c r="I54" s="637"/>
      <c r="J54" s="637"/>
    </row>
    <row r="55" spans="1:10" x14ac:dyDescent="0.2">
      <c r="A55" s="641" t="s">
        <v>1125</v>
      </c>
      <c r="B55" s="637"/>
      <c r="C55" s="637"/>
      <c r="D55" s="637"/>
      <c r="E55" s="637"/>
      <c r="F55" s="637"/>
      <c r="G55" s="637"/>
      <c r="H55" s="637"/>
      <c r="I55" s="637"/>
      <c r="J55" s="637"/>
    </row>
    <row r="56" spans="1:10" x14ac:dyDescent="0.2">
      <c r="A56" s="641" t="s">
        <v>1126</v>
      </c>
      <c r="B56" s="637"/>
      <c r="C56" s="637"/>
      <c r="D56" s="637"/>
      <c r="E56" s="637"/>
      <c r="F56" s="637"/>
      <c r="G56" s="637"/>
      <c r="H56" s="637"/>
      <c r="I56" s="637"/>
      <c r="J56" s="637"/>
    </row>
    <row r="57" spans="1:10" x14ac:dyDescent="0.2">
      <c r="A57" s="641" t="s">
        <v>1132</v>
      </c>
      <c r="B57" s="637"/>
      <c r="C57" s="637"/>
      <c r="D57" s="637"/>
      <c r="E57" s="637"/>
      <c r="F57" s="637"/>
      <c r="G57" s="637"/>
      <c r="H57" s="637"/>
      <c r="I57" s="637"/>
      <c r="J57" s="637"/>
    </row>
    <row r="58" spans="1:10" x14ac:dyDescent="0.2">
      <c r="A58" s="641" t="s">
        <v>1135</v>
      </c>
      <c r="B58" s="637"/>
      <c r="C58" s="637"/>
      <c r="D58" s="637"/>
      <c r="E58" s="637"/>
      <c r="F58" s="637"/>
      <c r="G58" s="637"/>
      <c r="H58" s="637"/>
      <c r="I58" s="637"/>
      <c r="J58" s="637"/>
    </row>
    <row r="59" spans="1:10" x14ac:dyDescent="0.2">
      <c r="A59" s="641" t="s">
        <v>1122</v>
      </c>
      <c r="B59" s="637"/>
      <c r="C59" s="637"/>
      <c r="D59" s="637"/>
      <c r="E59" s="637"/>
      <c r="F59" s="637"/>
      <c r="G59" s="637"/>
      <c r="H59" s="637"/>
      <c r="I59" s="637"/>
      <c r="J59" s="637"/>
    </row>
    <row r="60" spans="1:10" x14ac:dyDescent="0.2">
      <c r="A60" s="640" t="s">
        <v>1162</v>
      </c>
      <c r="B60" s="637">
        <v>465200.23</v>
      </c>
      <c r="C60" s="637">
        <v>466100</v>
      </c>
      <c r="D60" s="637">
        <v>475879.16</v>
      </c>
      <c r="E60" s="637">
        <v>38235.68</v>
      </c>
      <c r="F60" s="637">
        <v>387454.53</v>
      </c>
      <c r="G60" s="637">
        <v>392690.71</v>
      </c>
      <c r="H60" s="637">
        <v>5236.18</v>
      </c>
      <c r="I60" s="637">
        <v>200</v>
      </c>
      <c r="J60" s="637">
        <v>475879.16</v>
      </c>
    </row>
    <row r="61" spans="1:10" x14ac:dyDescent="0.2">
      <c r="A61" s="641" t="s">
        <v>1163</v>
      </c>
      <c r="B61" s="637">
        <v>0</v>
      </c>
      <c r="C61" s="637">
        <v>700</v>
      </c>
      <c r="D61" s="637">
        <v>686.28</v>
      </c>
      <c r="E61" s="637"/>
      <c r="F61" s="637">
        <v>0</v>
      </c>
      <c r="G61" s="637">
        <v>294.12</v>
      </c>
      <c r="H61" s="637">
        <v>294.12</v>
      </c>
      <c r="I61" s="637">
        <v>100</v>
      </c>
      <c r="J61" s="637">
        <v>686.28</v>
      </c>
    </row>
    <row r="62" spans="1:10" x14ac:dyDescent="0.2">
      <c r="A62" s="641" t="s">
        <v>1164</v>
      </c>
      <c r="B62" s="637">
        <v>0</v>
      </c>
      <c r="C62" s="637">
        <v>200</v>
      </c>
      <c r="D62" s="637">
        <v>9992.5499999999993</v>
      </c>
      <c r="E62" s="637"/>
      <c r="F62" s="637">
        <v>0</v>
      </c>
      <c r="G62" s="637">
        <v>4942.0600000000004</v>
      </c>
      <c r="H62" s="637">
        <v>4942.0600000000004</v>
      </c>
      <c r="I62" s="637">
        <v>100</v>
      </c>
      <c r="J62" s="637">
        <v>9992.5499999999993</v>
      </c>
    </row>
    <row r="63" spans="1:10" x14ac:dyDescent="0.2">
      <c r="A63" s="641" t="s">
        <v>1165</v>
      </c>
      <c r="B63" s="637"/>
      <c r="C63" s="637"/>
      <c r="D63" s="637"/>
      <c r="E63" s="637"/>
      <c r="F63" s="637"/>
      <c r="G63" s="637"/>
      <c r="H63" s="637"/>
      <c r="I63" s="637"/>
      <c r="J63" s="637"/>
    </row>
    <row r="64" spans="1:10" x14ac:dyDescent="0.2">
      <c r="A64" s="641" t="s">
        <v>1166</v>
      </c>
      <c r="B64" s="637">
        <v>465200.23</v>
      </c>
      <c r="C64" s="637">
        <v>465200</v>
      </c>
      <c r="D64" s="637">
        <v>465200.33</v>
      </c>
      <c r="E64" s="637">
        <v>38235.68</v>
      </c>
      <c r="F64" s="637">
        <v>387454.53</v>
      </c>
      <c r="G64" s="637">
        <v>387454.53</v>
      </c>
      <c r="H64" s="637">
        <v>0</v>
      </c>
      <c r="I64" s="637">
        <v>0</v>
      </c>
      <c r="J64" s="637">
        <v>465200.33</v>
      </c>
    </row>
    <row r="65" spans="1:10" x14ac:dyDescent="0.2">
      <c r="A65" s="641" t="s">
        <v>1122</v>
      </c>
      <c r="B65" s="637"/>
      <c r="C65" s="637"/>
      <c r="D65" s="637"/>
      <c r="E65" s="637"/>
      <c r="F65" s="637"/>
      <c r="G65" s="637"/>
      <c r="H65" s="637"/>
      <c r="I65" s="637"/>
      <c r="J65" s="637"/>
    </row>
    <row r="66" spans="1:10" x14ac:dyDescent="0.2">
      <c r="A66" s="640" t="s">
        <v>1167</v>
      </c>
      <c r="B66" s="637">
        <v>2274829.13</v>
      </c>
      <c r="C66" s="637">
        <v>2293500</v>
      </c>
      <c r="D66" s="637">
        <v>2596273.0299999998</v>
      </c>
      <c r="E66" s="637">
        <v>207237.12</v>
      </c>
      <c r="F66" s="637">
        <v>2100003.63</v>
      </c>
      <c r="G66" s="637">
        <v>2129209.19</v>
      </c>
      <c r="H66" s="637">
        <v>29205.56</v>
      </c>
      <c r="I66" s="637">
        <v>100</v>
      </c>
      <c r="J66" s="637">
        <v>2596273.0299999998</v>
      </c>
    </row>
    <row r="67" spans="1:10" x14ac:dyDescent="0.2">
      <c r="A67" s="641" t="s">
        <v>1168</v>
      </c>
      <c r="B67" s="637">
        <v>0</v>
      </c>
      <c r="C67" s="637">
        <v>26800</v>
      </c>
      <c r="D67" s="637">
        <v>74886.38</v>
      </c>
      <c r="E67" s="637"/>
      <c r="F67" s="637">
        <v>0</v>
      </c>
      <c r="G67" s="637">
        <v>29205.56</v>
      </c>
      <c r="H67" s="637">
        <v>29205.56</v>
      </c>
      <c r="I67" s="637">
        <v>100</v>
      </c>
      <c r="J67" s="637">
        <v>74886.38</v>
      </c>
    </row>
    <row r="68" spans="1:10" x14ac:dyDescent="0.2">
      <c r="A68" s="641" t="s">
        <v>1169</v>
      </c>
      <c r="B68" s="637">
        <v>2274829.13</v>
      </c>
      <c r="C68" s="637">
        <v>2266700</v>
      </c>
      <c r="D68" s="637">
        <v>2521386.65</v>
      </c>
      <c r="E68" s="637">
        <v>207237.12</v>
      </c>
      <c r="F68" s="637">
        <v>2100003.63</v>
      </c>
      <c r="G68" s="637">
        <v>2100003.63</v>
      </c>
      <c r="H68" s="637">
        <v>0</v>
      </c>
      <c r="I68" s="637">
        <v>0</v>
      </c>
      <c r="J68" s="637">
        <v>2521386.65</v>
      </c>
    </row>
    <row r="69" spans="1:10" x14ac:dyDescent="0.2">
      <c r="A69" s="641" t="s">
        <v>1170</v>
      </c>
      <c r="B69" s="637"/>
      <c r="C69" s="637"/>
      <c r="D69" s="637"/>
      <c r="E69" s="637"/>
      <c r="F69" s="637"/>
      <c r="G69" s="637"/>
      <c r="H69" s="637"/>
      <c r="I69" s="637"/>
      <c r="J69" s="637"/>
    </row>
    <row r="70" spans="1:10" x14ac:dyDescent="0.2">
      <c r="A70" s="641" t="s">
        <v>1122</v>
      </c>
      <c r="B70" s="637"/>
      <c r="C70" s="637"/>
      <c r="D70" s="637"/>
      <c r="E70" s="637"/>
      <c r="F70" s="637"/>
      <c r="G70" s="637"/>
      <c r="H70" s="637"/>
      <c r="I70" s="637"/>
      <c r="J70" s="637"/>
    </row>
    <row r="71" spans="1:10" x14ac:dyDescent="0.2">
      <c r="A71" s="639" t="s">
        <v>1191</v>
      </c>
      <c r="B71" s="637">
        <v>22319017.129999999</v>
      </c>
      <c r="C71" s="637">
        <v>20903700</v>
      </c>
      <c r="D71" s="637">
        <v>26091646.34</v>
      </c>
      <c r="E71" s="637">
        <v>2129050.0699999998</v>
      </c>
      <c r="F71" s="637">
        <v>21541536.91</v>
      </c>
      <c r="G71" s="637">
        <v>21634108.02</v>
      </c>
      <c r="H71" s="637">
        <v>92571.11</v>
      </c>
      <c r="I71" s="637">
        <v>142.64444150327199</v>
      </c>
      <c r="J71" s="637">
        <v>26091646.34</v>
      </c>
    </row>
    <row r="72" spans="1:10" x14ac:dyDescent="0.2">
      <c r="A72" s="640" t="s">
        <v>1171</v>
      </c>
      <c r="B72" s="637">
        <v>10810547.060000001</v>
      </c>
      <c r="C72" s="637">
        <v>10812200</v>
      </c>
      <c r="D72" s="637">
        <v>12249064.43</v>
      </c>
      <c r="E72" s="637">
        <v>996311.26</v>
      </c>
      <c r="F72" s="637">
        <v>10063119.23</v>
      </c>
      <c r="G72" s="637">
        <v>10131844.51</v>
      </c>
      <c r="H72" s="637">
        <v>68725.279999999999</v>
      </c>
      <c r="I72" s="637">
        <v>142.437127264824</v>
      </c>
      <c r="J72" s="637">
        <v>12249064.43</v>
      </c>
    </row>
    <row r="73" spans="1:10" x14ac:dyDescent="0.2">
      <c r="A73" s="641" t="s">
        <v>1172</v>
      </c>
      <c r="B73" s="637">
        <v>2172170.0099999998</v>
      </c>
      <c r="C73" s="637">
        <v>2522700</v>
      </c>
      <c r="D73" s="637">
        <v>2606325.44</v>
      </c>
      <c r="E73" s="637">
        <v>216161.32</v>
      </c>
      <c r="F73" s="637">
        <v>2172761.92</v>
      </c>
      <c r="G73" s="637">
        <v>2169575.7000000002</v>
      </c>
      <c r="H73" s="637">
        <v>-3186.22</v>
      </c>
      <c r="I73" s="637">
        <v>-0.14685913010548601</v>
      </c>
      <c r="J73" s="637">
        <v>2606325.44</v>
      </c>
    </row>
    <row r="74" spans="1:10" x14ac:dyDescent="0.2">
      <c r="A74" s="641" t="s">
        <v>1173</v>
      </c>
      <c r="B74" s="637">
        <v>0</v>
      </c>
      <c r="C74" s="637"/>
      <c r="D74" s="637"/>
      <c r="E74" s="637"/>
      <c r="F74" s="637"/>
      <c r="G74" s="637"/>
      <c r="H74" s="637"/>
      <c r="I74" s="637"/>
      <c r="J74" s="637"/>
    </row>
    <row r="75" spans="1:10" x14ac:dyDescent="0.2">
      <c r="A75" s="641" t="s">
        <v>1174</v>
      </c>
      <c r="B75" s="637">
        <v>213903.53</v>
      </c>
      <c r="C75" s="637">
        <v>214500</v>
      </c>
      <c r="D75" s="637">
        <v>213903.71</v>
      </c>
      <c r="E75" s="637">
        <v>17581.12</v>
      </c>
      <c r="F75" s="637">
        <v>178155.31</v>
      </c>
      <c r="G75" s="637">
        <v>178155.31</v>
      </c>
      <c r="H75" s="637">
        <v>0</v>
      </c>
      <c r="I75" s="637">
        <v>0</v>
      </c>
      <c r="J75" s="637">
        <v>213903.71</v>
      </c>
    </row>
    <row r="76" spans="1:10" x14ac:dyDescent="0.2">
      <c r="A76" s="641" t="s">
        <v>1175</v>
      </c>
      <c r="B76" s="637">
        <v>124958.81</v>
      </c>
      <c r="C76" s="637">
        <v>120000</v>
      </c>
      <c r="D76" s="637">
        <v>124959</v>
      </c>
      <c r="E76" s="637">
        <v>10270.61</v>
      </c>
      <c r="F76" s="637">
        <v>104075.29</v>
      </c>
      <c r="G76" s="637">
        <v>104075.29</v>
      </c>
      <c r="H76" s="637">
        <v>0</v>
      </c>
      <c r="I76" s="637">
        <v>0</v>
      </c>
      <c r="J76" s="637">
        <v>124959</v>
      </c>
    </row>
    <row r="77" spans="1:10" x14ac:dyDescent="0.2">
      <c r="A77" s="641" t="s">
        <v>1176</v>
      </c>
      <c r="B77" s="637">
        <v>1157824.1499999999</v>
      </c>
      <c r="C77" s="637">
        <v>1156000</v>
      </c>
      <c r="D77" s="637">
        <v>1843171.42</v>
      </c>
      <c r="E77" s="637">
        <v>151493.45000000001</v>
      </c>
      <c r="F77" s="637">
        <v>1535134.4</v>
      </c>
      <c r="G77" s="637">
        <v>1535134.4</v>
      </c>
      <c r="H77" s="637">
        <v>0</v>
      </c>
      <c r="I77" s="637">
        <v>0</v>
      </c>
      <c r="J77" s="637">
        <v>1843171.42</v>
      </c>
    </row>
    <row r="78" spans="1:10" x14ac:dyDescent="0.2">
      <c r="A78" s="641" t="s">
        <v>1177</v>
      </c>
      <c r="B78" s="637"/>
      <c r="C78" s="637"/>
      <c r="D78" s="637"/>
      <c r="E78" s="637"/>
      <c r="F78" s="637"/>
      <c r="G78" s="637"/>
      <c r="H78" s="637"/>
      <c r="I78" s="637"/>
      <c r="J78" s="637"/>
    </row>
    <row r="79" spans="1:10" x14ac:dyDescent="0.2">
      <c r="A79" s="641" t="s">
        <v>1178</v>
      </c>
      <c r="B79" s="637"/>
      <c r="C79" s="637"/>
      <c r="D79" s="637"/>
      <c r="E79" s="637"/>
      <c r="F79" s="637"/>
      <c r="G79" s="637"/>
      <c r="H79" s="637"/>
      <c r="I79" s="637"/>
      <c r="J79" s="637"/>
    </row>
    <row r="80" spans="1:10" x14ac:dyDescent="0.2">
      <c r="A80" s="641" t="s">
        <v>1179</v>
      </c>
      <c r="B80" s="637"/>
      <c r="C80" s="637"/>
      <c r="D80" s="637"/>
      <c r="E80" s="637"/>
      <c r="F80" s="637"/>
      <c r="G80" s="637"/>
      <c r="H80" s="637"/>
      <c r="I80" s="637"/>
      <c r="J80" s="637"/>
    </row>
    <row r="81" spans="1:10" x14ac:dyDescent="0.2">
      <c r="A81" s="641" t="s">
        <v>1055</v>
      </c>
      <c r="B81" s="637"/>
      <c r="C81" s="637"/>
      <c r="D81" s="637"/>
      <c r="E81" s="637"/>
      <c r="F81" s="637"/>
      <c r="G81" s="637"/>
      <c r="H81" s="637"/>
      <c r="I81" s="637"/>
      <c r="J81" s="637"/>
    </row>
    <row r="82" spans="1:10" x14ac:dyDescent="0.2">
      <c r="A82" s="641" t="s">
        <v>508</v>
      </c>
      <c r="B82" s="637">
        <v>885725.62</v>
      </c>
      <c r="C82" s="637">
        <v>907100</v>
      </c>
      <c r="D82" s="637">
        <v>980768.97</v>
      </c>
      <c r="E82" s="637">
        <v>80611.09</v>
      </c>
      <c r="F82" s="637">
        <v>816859.51</v>
      </c>
      <c r="G82" s="637">
        <v>816859.51</v>
      </c>
      <c r="H82" s="637">
        <v>0</v>
      </c>
      <c r="I82" s="637">
        <v>0</v>
      </c>
      <c r="J82" s="637">
        <v>980768.97</v>
      </c>
    </row>
    <row r="83" spans="1:10" x14ac:dyDescent="0.2">
      <c r="A83" s="641" t="s">
        <v>1180</v>
      </c>
      <c r="B83" s="637">
        <v>753264.08</v>
      </c>
      <c r="C83" s="637">
        <v>768900</v>
      </c>
      <c r="D83" s="637">
        <v>759638.38</v>
      </c>
      <c r="E83" s="637">
        <v>64197.29</v>
      </c>
      <c r="F83" s="637">
        <v>635369.32999999996</v>
      </c>
      <c r="G83" s="637">
        <v>631729.88</v>
      </c>
      <c r="H83" s="637">
        <v>-3639.45</v>
      </c>
      <c r="I83" s="637">
        <v>-0.576108573493468</v>
      </c>
      <c r="J83" s="637">
        <v>759638.38</v>
      </c>
    </row>
    <row r="84" spans="1:10" x14ac:dyDescent="0.2">
      <c r="A84" s="641" t="s">
        <v>148</v>
      </c>
      <c r="B84" s="637"/>
      <c r="C84" s="637"/>
      <c r="D84" s="637"/>
      <c r="E84" s="637"/>
      <c r="F84" s="637"/>
      <c r="G84" s="637"/>
      <c r="H84" s="637"/>
      <c r="I84" s="637"/>
      <c r="J84" s="637"/>
    </row>
    <row r="85" spans="1:10" x14ac:dyDescent="0.2">
      <c r="A85" s="641" t="s">
        <v>1181</v>
      </c>
      <c r="B85" s="637">
        <v>2481610.08</v>
      </c>
      <c r="C85" s="637">
        <v>2250900</v>
      </c>
      <c r="D85" s="637">
        <v>2480441.31</v>
      </c>
      <c r="E85" s="637">
        <v>203871.99</v>
      </c>
      <c r="F85" s="637">
        <v>2065901.77</v>
      </c>
      <c r="G85" s="637">
        <v>2065901.77</v>
      </c>
      <c r="H85" s="637">
        <v>0</v>
      </c>
      <c r="I85" s="637">
        <v>0</v>
      </c>
      <c r="J85" s="637">
        <v>2480441.31</v>
      </c>
    </row>
    <row r="86" spans="1:10" x14ac:dyDescent="0.2">
      <c r="A86" s="641" t="s">
        <v>1182</v>
      </c>
      <c r="B86" s="637"/>
      <c r="C86" s="637"/>
      <c r="D86" s="637"/>
      <c r="E86" s="637"/>
      <c r="F86" s="637"/>
      <c r="G86" s="637"/>
      <c r="H86" s="637"/>
      <c r="I86" s="637"/>
      <c r="J86" s="637"/>
    </row>
    <row r="87" spans="1:10" x14ac:dyDescent="0.2">
      <c r="A87" s="641" t="s">
        <v>1183</v>
      </c>
      <c r="B87" s="637"/>
      <c r="C87" s="637"/>
      <c r="D87" s="637"/>
      <c r="E87" s="637"/>
      <c r="F87" s="637"/>
      <c r="G87" s="637"/>
      <c r="H87" s="637"/>
      <c r="I87" s="637"/>
      <c r="J87" s="637"/>
    </row>
    <row r="88" spans="1:10" x14ac:dyDescent="0.2">
      <c r="A88" s="641" t="s">
        <v>1184</v>
      </c>
      <c r="B88" s="637">
        <v>353898.4</v>
      </c>
      <c r="C88" s="637">
        <v>353900</v>
      </c>
      <c r="D88" s="637">
        <v>353898.54</v>
      </c>
      <c r="E88" s="637">
        <v>29087.39</v>
      </c>
      <c r="F88" s="637">
        <v>294753.59000000003</v>
      </c>
      <c r="G88" s="637">
        <v>294753.59000000003</v>
      </c>
      <c r="H88" s="637">
        <v>0</v>
      </c>
      <c r="I88" s="637">
        <v>0</v>
      </c>
      <c r="J88" s="637">
        <v>353898.54</v>
      </c>
    </row>
    <row r="89" spans="1:10" x14ac:dyDescent="0.2">
      <c r="A89" s="641" t="s">
        <v>402</v>
      </c>
      <c r="B89" s="637"/>
      <c r="C89" s="637"/>
      <c r="D89" s="637"/>
      <c r="E89" s="637"/>
      <c r="F89" s="637"/>
      <c r="G89" s="637"/>
      <c r="H89" s="637"/>
      <c r="I89" s="637"/>
      <c r="J89" s="637"/>
    </row>
    <row r="90" spans="1:10" x14ac:dyDescent="0.2">
      <c r="A90" s="641" t="s">
        <v>1185</v>
      </c>
      <c r="B90" s="637">
        <v>0</v>
      </c>
      <c r="C90" s="637">
        <v>2100</v>
      </c>
      <c r="D90" s="637">
        <v>44329.46</v>
      </c>
      <c r="E90" s="637"/>
      <c r="F90" s="637">
        <v>0</v>
      </c>
      <c r="G90" s="637">
        <v>21664.44</v>
      </c>
      <c r="H90" s="637">
        <v>21664.44</v>
      </c>
      <c r="I90" s="637">
        <v>100</v>
      </c>
      <c r="J90" s="637">
        <v>44329.46</v>
      </c>
    </row>
    <row r="91" spans="1:10" x14ac:dyDescent="0.2">
      <c r="A91" s="641" t="s">
        <v>401</v>
      </c>
      <c r="B91" s="637"/>
      <c r="C91" s="637"/>
      <c r="D91" s="637"/>
      <c r="E91" s="637"/>
      <c r="F91" s="637"/>
      <c r="G91" s="637"/>
      <c r="H91" s="637"/>
      <c r="I91" s="637"/>
      <c r="J91" s="637"/>
    </row>
    <row r="92" spans="1:10" x14ac:dyDescent="0.2">
      <c r="A92" s="641" t="s">
        <v>1186</v>
      </c>
      <c r="B92" s="637">
        <v>47473.86</v>
      </c>
      <c r="C92" s="637">
        <v>114400</v>
      </c>
      <c r="D92" s="637">
        <v>114385.76</v>
      </c>
      <c r="E92" s="637">
        <v>3901.95</v>
      </c>
      <c r="F92" s="637">
        <v>39539.85</v>
      </c>
      <c r="G92" s="637">
        <v>68216.31</v>
      </c>
      <c r="H92" s="637">
        <v>28676.46</v>
      </c>
      <c r="I92" s="637">
        <v>42.037542048228602</v>
      </c>
      <c r="J92" s="637">
        <v>114385.76</v>
      </c>
    </row>
    <row r="93" spans="1:10" x14ac:dyDescent="0.2">
      <c r="A93" s="641" t="s">
        <v>1187</v>
      </c>
      <c r="B93" s="637">
        <v>2619718.52</v>
      </c>
      <c r="C93" s="637">
        <v>2401700</v>
      </c>
      <c r="D93" s="637">
        <v>2727242.44</v>
      </c>
      <c r="E93" s="637">
        <v>219135.05</v>
      </c>
      <c r="F93" s="637">
        <v>2220568.2599999998</v>
      </c>
      <c r="G93" s="637">
        <v>2245778.31</v>
      </c>
      <c r="H93" s="637">
        <v>25210.05</v>
      </c>
      <c r="I93" s="637">
        <v>1.1225529201945099</v>
      </c>
      <c r="J93" s="637">
        <v>2727242.44</v>
      </c>
    </row>
    <row r="94" spans="1:10" x14ac:dyDescent="0.2">
      <c r="A94" s="641" t="s">
        <v>1122</v>
      </c>
      <c r="B94" s="637"/>
      <c r="C94" s="637"/>
      <c r="D94" s="637"/>
      <c r="E94" s="637"/>
      <c r="F94" s="637"/>
      <c r="G94" s="637"/>
      <c r="H94" s="637"/>
      <c r="I94" s="637"/>
      <c r="J94" s="637"/>
    </row>
    <row r="95" spans="1:10" x14ac:dyDescent="0.2">
      <c r="A95" s="640" t="s">
        <v>1188</v>
      </c>
      <c r="B95" s="637">
        <v>11508470.07</v>
      </c>
      <c r="C95" s="637">
        <v>10091500</v>
      </c>
      <c r="D95" s="637">
        <v>13842581.91</v>
      </c>
      <c r="E95" s="637">
        <v>1132738.81</v>
      </c>
      <c r="F95" s="637">
        <v>11478417.68</v>
      </c>
      <c r="G95" s="637">
        <v>11502263.51</v>
      </c>
      <c r="H95" s="637">
        <v>23845.83</v>
      </c>
      <c r="I95" s="637">
        <v>0.207314238447664</v>
      </c>
      <c r="J95" s="637">
        <v>13842581.91</v>
      </c>
    </row>
    <row r="96" spans="1:10" x14ac:dyDescent="0.2">
      <c r="A96" s="641" t="s">
        <v>1189</v>
      </c>
      <c r="B96" s="637">
        <v>0</v>
      </c>
      <c r="C96" s="637"/>
      <c r="D96" s="637"/>
      <c r="E96" s="637"/>
      <c r="F96" s="637"/>
      <c r="G96" s="637"/>
      <c r="H96" s="637"/>
      <c r="I96" s="637"/>
      <c r="J96" s="637"/>
    </row>
    <row r="97" spans="1:10" x14ac:dyDescent="0.2">
      <c r="A97" s="641" t="s">
        <v>1190</v>
      </c>
      <c r="B97" s="637">
        <v>11508470.07</v>
      </c>
      <c r="C97" s="637">
        <v>10091500</v>
      </c>
      <c r="D97" s="637">
        <v>13842581.91</v>
      </c>
      <c r="E97" s="637">
        <v>1132738.81</v>
      </c>
      <c r="F97" s="637">
        <v>11478417.68</v>
      </c>
      <c r="G97" s="637">
        <v>11502263.51</v>
      </c>
      <c r="H97" s="637">
        <v>23845.83</v>
      </c>
      <c r="I97" s="637">
        <v>0.207314238447664</v>
      </c>
      <c r="J97" s="637">
        <v>13842581.91</v>
      </c>
    </row>
    <row r="98" spans="1:10" x14ac:dyDescent="0.2">
      <c r="A98" s="641" t="s">
        <v>1122</v>
      </c>
      <c r="B98" s="637"/>
      <c r="C98" s="637"/>
      <c r="D98" s="637"/>
      <c r="E98" s="637"/>
      <c r="F98" s="637"/>
      <c r="G98" s="637"/>
      <c r="H98" s="637"/>
      <c r="I98" s="637"/>
      <c r="J98" s="637"/>
    </row>
    <row r="99" spans="1:10" x14ac:dyDescent="0.2">
      <c r="A99" s="639" t="s">
        <v>618</v>
      </c>
      <c r="B99" s="637"/>
      <c r="C99" s="637"/>
      <c r="D99" s="637"/>
      <c r="E99" s="637"/>
      <c r="F99" s="637"/>
      <c r="G99" s="637"/>
      <c r="H99" s="637"/>
      <c r="I99" s="637"/>
      <c r="J99" s="637"/>
    </row>
    <row r="100" spans="1:10" x14ac:dyDescent="0.2">
      <c r="A100" s="640" t="s">
        <v>1192</v>
      </c>
      <c r="B100" s="637"/>
      <c r="C100" s="637"/>
      <c r="D100" s="637"/>
      <c r="E100" s="637"/>
      <c r="F100" s="637"/>
      <c r="G100" s="637"/>
      <c r="H100" s="637"/>
      <c r="I100" s="637"/>
      <c r="J100" s="637"/>
    </row>
    <row r="101" spans="1:10" x14ac:dyDescent="0.2">
      <c r="A101" s="641" t="s">
        <v>1192</v>
      </c>
      <c r="B101" s="637"/>
      <c r="C101" s="637"/>
      <c r="D101" s="637"/>
      <c r="E101" s="637"/>
      <c r="F101" s="637"/>
      <c r="G101" s="637"/>
      <c r="H101" s="637"/>
      <c r="I101" s="637"/>
      <c r="J101" s="637"/>
    </row>
    <row r="102" spans="1:10" x14ac:dyDescent="0.2">
      <c r="A102" s="640" t="s">
        <v>1193</v>
      </c>
      <c r="B102" s="637"/>
      <c r="C102" s="637"/>
      <c r="D102" s="637"/>
      <c r="E102" s="637"/>
      <c r="F102" s="637"/>
      <c r="G102" s="637"/>
      <c r="H102" s="637"/>
      <c r="I102" s="637"/>
      <c r="J102" s="637"/>
    </row>
    <row r="103" spans="1:10" x14ac:dyDescent="0.2">
      <c r="A103" s="641" t="s">
        <v>1193</v>
      </c>
      <c r="B103" s="637"/>
      <c r="C103" s="637"/>
      <c r="D103" s="637"/>
      <c r="E103" s="637"/>
      <c r="F103" s="637"/>
      <c r="G103" s="637"/>
      <c r="H103" s="637"/>
      <c r="I103" s="637"/>
      <c r="J103" s="637"/>
    </row>
    <row r="104" spans="1:10" x14ac:dyDescent="0.2">
      <c r="A104" s="640" t="s">
        <v>1194</v>
      </c>
      <c r="B104" s="637"/>
      <c r="C104" s="637"/>
      <c r="D104" s="637"/>
      <c r="E104" s="637"/>
      <c r="F104" s="637"/>
      <c r="G104" s="637"/>
      <c r="H104" s="637"/>
      <c r="I104" s="637"/>
      <c r="J104" s="637"/>
    </row>
    <row r="105" spans="1:10" x14ac:dyDescent="0.2">
      <c r="A105" s="641" t="s">
        <v>1194</v>
      </c>
      <c r="B105" s="637"/>
      <c r="C105" s="637"/>
      <c r="D105" s="637"/>
      <c r="E105" s="637"/>
      <c r="F105" s="637"/>
      <c r="G105" s="637"/>
      <c r="H105" s="637"/>
      <c r="I105" s="637"/>
      <c r="J105" s="637"/>
    </row>
    <row r="106" spans="1:10" x14ac:dyDescent="0.2">
      <c r="A106" s="640" t="s">
        <v>1195</v>
      </c>
      <c r="B106" s="637"/>
      <c r="C106" s="637"/>
      <c r="D106" s="637"/>
      <c r="E106" s="637"/>
      <c r="F106" s="637"/>
      <c r="G106" s="637"/>
      <c r="H106" s="637"/>
      <c r="I106" s="637"/>
      <c r="J106" s="637"/>
    </row>
    <row r="107" spans="1:10" x14ac:dyDescent="0.2">
      <c r="A107" s="641" t="s">
        <v>1195</v>
      </c>
      <c r="B107" s="637"/>
      <c r="C107" s="637"/>
      <c r="D107" s="637"/>
      <c r="E107" s="637"/>
      <c r="F107" s="637"/>
      <c r="G107" s="637"/>
      <c r="H107" s="637"/>
      <c r="I107" s="637"/>
      <c r="J107" s="637"/>
    </row>
    <row r="108" spans="1:10" x14ac:dyDescent="0.2">
      <c r="A108" s="640" t="s">
        <v>1196</v>
      </c>
      <c r="B108" s="637"/>
      <c r="C108" s="637"/>
      <c r="D108" s="637"/>
      <c r="E108" s="637"/>
      <c r="F108" s="637"/>
      <c r="G108" s="637"/>
      <c r="H108" s="637"/>
      <c r="I108" s="637"/>
      <c r="J108" s="637"/>
    </row>
    <row r="109" spans="1:10" x14ac:dyDescent="0.2">
      <c r="A109" s="641" t="s">
        <v>1196</v>
      </c>
      <c r="B109" s="637"/>
      <c r="C109" s="637"/>
      <c r="D109" s="637"/>
      <c r="E109" s="637"/>
      <c r="F109" s="637"/>
      <c r="G109" s="637"/>
      <c r="H109" s="637"/>
      <c r="I109" s="637"/>
      <c r="J109" s="637"/>
    </row>
    <row r="110" spans="1:10" x14ac:dyDescent="0.2">
      <c r="A110" s="639" t="s">
        <v>619</v>
      </c>
      <c r="B110" s="637">
        <v>592696.67000000004</v>
      </c>
      <c r="C110" s="637">
        <v>406900</v>
      </c>
      <c r="D110" s="637">
        <v>1762365.3</v>
      </c>
      <c r="E110" s="637">
        <v>140976.84</v>
      </c>
      <c r="F110" s="637">
        <v>1428563.36</v>
      </c>
      <c r="G110" s="637">
        <v>1447155.18</v>
      </c>
      <c r="H110" s="637">
        <v>18591.82</v>
      </c>
      <c r="I110" s="637">
        <v>1.28471502275243</v>
      </c>
      <c r="J110" s="637">
        <v>1762365.3</v>
      </c>
    </row>
    <row r="111" spans="1:10" x14ac:dyDescent="0.2">
      <c r="A111" s="640" t="s">
        <v>1197</v>
      </c>
      <c r="B111" s="637">
        <v>592696.67000000004</v>
      </c>
      <c r="C111" s="637">
        <v>406900</v>
      </c>
      <c r="D111" s="637">
        <v>1762365.3</v>
      </c>
      <c r="E111" s="637">
        <v>140976.84</v>
      </c>
      <c r="F111" s="637">
        <v>1428563.36</v>
      </c>
      <c r="G111" s="637">
        <v>1447155.18</v>
      </c>
      <c r="H111" s="637">
        <v>18591.82</v>
      </c>
      <c r="I111" s="637">
        <v>1.28471502275243</v>
      </c>
      <c r="J111" s="637">
        <v>1762365.3</v>
      </c>
    </row>
    <row r="112" spans="1:10" x14ac:dyDescent="0.2">
      <c r="A112" s="641" t="s">
        <v>1198</v>
      </c>
      <c r="B112" s="637">
        <v>592696.67000000004</v>
      </c>
      <c r="C112" s="637">
        <v>406900</v>
      </c>
      <c r="D112" s="637">
        <v>1762365.3</v>
      </c>
      <c r="E112" s="637">
        <v>140976.84</v>
      </c>
      <c r="F112" s="637">
        <v>1428563.36</v>
      </c>
      <c r="G112" s="637">
        <v>1447155.18</v>
      </c>
      <c r="H112" s="637">
        <v>18591.82</v>
      </c>
      <c r="I112" s="637">
        <v>1.28471502275243</v>
      </c>
      <c r="J112" s="637">
        <v>1762365.3</v>
      </c>
    </row>
    <row r="113" spans="1:10" x14ac:dyDescent="0.2">
      <c r="A113" s="641" t="s">
        <v>1199</v>
      </c>
      <c r="B113" s="637"/>
      <c r="C113" s="637"/>
      <c r="D113" s="637"/>
      <c r="E113" s="637"/>
      <c r="F113" s="637"/>
      <c r="G113" s="637"/>
      <c r="H113" s="637"/>
      <c r="I113" s="637"/>
      <c r="J113" s="637"/>
    </row>
    <row r="114" spans="1:10" x14ac:dyDescent="0.2">
      <c r="A114" s="640" t="s">
        <v>1200</v>
      </c>
      <c r="B114" s="637"/>
      <c r="C114" s="637"/>
      <c r="D114" s="637"/>
      <c r="E114" s="637"/>
      <c r="F114" s="637"/>
      <c r="G114" s="637"/>
      <c r="H114" s="637"/>
      <c r="I114" s="637"/>
      <c r="J114" s="637"/>
    </row>
    <row r="115" spans="1:10" x14ac:dyDescent="0.2">
      <c r="A115" s="641" t="s">
        <v>1198</v>
      </c>
      <c r="B115" s="637"/>
      <c r="C115" s="637"/>
      <c r="D115" s="637"/>
      <c r="E115" s="637"/>
      <c r="F115" s="637"/>
      <c r="G115" s="637"/>
      <c r="H115" s="637"/>
      <c r="I115" s="637"/>
      <c r="J115" s="637"/>
    </row>
    <row r="116" spans="1:10" x14ac:dyDescent="0.2">
      <c r="A116" s="641" t="s">
        <v>1199</v>
      </c>
      <c r="B116" s="637"/>
      <c r="C116" s="637"/>
      <c r="D116" s="637"/>
      <c r="E116" s="637"/>
      <c r="F116" s="637"/>
      <c r="G116" s="637"/>
      <c r="H116" s="637"/>
      <c r="I116" s="637"/>
      <c r="J116" s="637"/>
    </row>
    <row r="117" spans="1:10" x14ac:dyDescent="0.2">
      <c r="A117" s="639" t="s">
        <v>620</v>
      </c>
      <c r="B117" s="637">
        <v>18173020.84</v>
      </c>
      <c r="C117" s="637">
        <v>18280300</v>
      </c>
      <c r="D117" s="637">
        <v>24084678.059999999</v>
      </c>
      <c r="E117" s="637">
        <v>1975829.86</v>
      </c>
      <c r="F117" s="637">
        <v>20021742.329999998</v>
      </c>
      <c r="G117" s="637">
        <v>20038117.870000001</v>
      </c>
      <c r="H117" s="637">
        <v>16375.54</v>
      </c>
      <c r="I117" s="637">
        <v>0.169076784225066</v>
      </c>
      <c r="J117" s="637">
        <v>24084678.059999999</v>
      </c>
    </row>
    <row r="118" spans="1:10" x14ac:dyDescent="0.2">
      <c r="A118" s="640" t="s">
        <v>1201</v>
      </c>
      <c r="B118" s="637">
        <v>10640552.439999999</v>
      </c>
      <c r="C118" s="637">
        <v>10943300</v>
      </c>
      <c r="D118" s="637">
        <v>16591593.210000001</v>
      </c>
      <c r="E118" s="637">
        <v>1360346.6</v>
      </c>
      <c r="F118" s="637">
        <v>13784843.810000001</v>
      </c>
      <c r="G118" s="637">
        <v>13799259.800000001</v>
      </c>
      <c r="H118" s="637">
        <v>14415.99</v>
      </c>
      <c r="I118" s="637">
        <v>0.13231411754184</v>
      </c>
      <c r="J118" s="637">
        <v>16591593.210000001</v>
      </c>
    </row>
    <row r="119" spans="1:10" x14ac:dyDescent="0.2">
      <c r="A119" s="641" t="s">
        <v>1202</v>
      </c>
      <c r="B119" s="637">
        <v>7995978.2999999998</v>
      </c>
      <c r="C119" s="637">
        <v>8684600</v>
      </c>
      <c r="D119" s="637">
        <v>13104903.300000001</v>
      </c>
      <c r="E119" s="637">
        <v>1073769.25</v>
      </c>
      <c r="F119" s="637">
        <v>10880861.300000001</v>
      </c>
      <c r="G119" s="637">
        <v>10895277.289999999</v>
      </c>
      <c r="H119" s="637">
        <v>14415.99</v>
      </c>
      <c r="I119" s="637">
        <v>0.13231411754184</v>
      </c>
      <c r="J119" s="637">
        <v>13104903.300000001</v>
      </c>
    </row>
    <row r="120" spans="1:10" x14ac:dyDescent="0.2">
      <c r="A120" s="641" t="s">
        <v>1203</v>
      </c>
      <c r="B120" s="637"/>
      <c r="C120" s="637"/>
      <c r="D120" s="637"/>
      <c r="E120" s="637"/>
      <c r="F120" s="637"/>
      <c r="G120" s="637"/>
      <c r="H120" s="637"/>
      <c r="I120" s="637"/>
      <c r="J120" s="637"/>
    </row>
    <row r="121" spans="1:10" x14ac:dyDescent="0.2">
      <c r="A121" s="641" t="s">
        <v>1204</v>
      </c>
      <c r="B121" s="637"/>
      <c r="C121" s="637"/>
      <c r="D121" s="637"/>
      <c r="E121" s="637"/>
      <c r="F121" s="637"/>
      <c r="G121" s="637"/>
      <c r="H121" s="637"/>
      <c r="I121" s="637"/>
      <c r="J121" s="637"/>
    </row>
    <row r="122" spans="1:10" x14ac:dyDescent="0.2">
      <c r="A122" s="641" t="s">
        <v>1205</v>
      </c>
      <c r="B122" s="637">
        <v>51394.65</v>
      </c>
      <c r="C122" s="637">
        <v>50100</v>
      </c>
      <c r="D122" s="637">
        <v>60449.599999999999</v>
      </c>
      <c r="E122" s="637">
        <v>4968.41</v>
      </c>
      <c r="F122" s="637">
        <v>50347.02</v>
      </c>
      <c r="G122" s="637">
        <v>50347.02</v>
      </c>
      <c r="H122" s="637">
        <v>0</v>
      </c>
      <c r="I122" s="637">
        <v>0</v>
      </c>
      <c r="J122" s="637">
        <v>60449.599999999999</v>
      </c>
    </row>
    <row r="123" spans="1:10" x14ac:dyDescent="0.2">
      <c r="A123" s="641" t="s">
        <v>1206</v>
      </c>
      <c r="B123" s="637">
        <v>2593179.4900000002</v>
      </c>
      <c r="C123" s="637">
        <v>2208600</v>
      </c>
      <c r="D123" s="637">
        <v>3426240.31</v>
      </c>
      <c r="E123" s="637">
        <v>281608.94</v>
      </c>
      <c r="F123" s="637">
        <v>2853635.49</v>
      </c>
      <c r="G123" s="637">
        <v>2853635.49</v>
      </c>
      <c r="H123" s="637">
        <v>0</v>
      </c>
      <c r="I123" s="637">
        <v>0</v>
      </c>
      <c r="J123" s="637">
        <v>3426240.31</v>
      </c>
    </row>
    <row r="124" spans="1:10" x14ac:dyDescent="0.2">
      <c r="A124" s="641" t="s">
        <v>1207</v>
      </c>
      <c r="B124" s="637"/>
      <c r="C124" s="637"/>
      <c r="D124" s="637"/>
      <c r="E124" s="637"/>
      <c r="F124" s="637"/>
      <c r="G124" s="637"/>
      <c r="H124" s="637"/>
      <c r="I124" s="637"/>
      <c r="J124" s="637"/>
    </row>
    <row r="125" spans="1:10" x14ac:dyDescent="0.2">
      <c r="A125" s="641" t="s">
        <v>1208</v>
      </c>
      <c r="B125" s="637"/>
      <c r="C125" s="637"/>
      <c r="D125" s="637"/>
      <c r="E125" s="637"/>
      <c r="F125" s="637"/>
      <c r="G125" s="637"/>
      <c r="H125" s="637"/>
      <c r="I125" s="637"/>
      <c r="J125" s="637"/>
    </row>
    <row r="126" spans="1:10" x14ac:dyDescent="0.2">
      <c r="A126" s="641" t="s">
        <v>1209</v>
      </c>
      <c r="B126" s="637"/>
      <c r="C126" s="637"/>
      <c r="D126" s="637"/>
      <c r="E126" s="637"/>
      <c r="F126" s="637"/>
      <c r="G126" s="637"/>
      <c r="H126" s="637"/>
      <c r="I126" s="637"/>
      <c r="J126" s="637"/>
    </row>
    <row r="127" spans="1:10" x14ac:dyDescent="0.2">
      <c r="A127" s="641" t="s">
        <v>1210</v>
      </c>
      <c r="B127" s="637"/>
      <c r="C127" s="637"/>
      <c r="D127" s="637"/>
      <c r="E127" s="637"/>
      <c r="F127" s="637"/>
      <c r="G127" s="637"/>
      <c r="H127" s="637"/>
      <c r="I127" s="637"/>
      <c r="J127" s="637"/>
    </row>
    <row r="128" spans="1:10" x14ac:dyDescent="0.2">
      <c r="A128" s="641" t="s">
        <v>1211</v>
      </c>
      <c r="B128" s="637">
        <v>0</v>
      </c>
      <c r="C128" s="637"/>
      <c r="D128" s="637"/>
      <c r="E128" s="637"/>
      <c r="F128" s="637"/>
      <c r="G128" s="637"/>
      <c r="H128" s="637"/>
      <c r="I128" s="637"/>
      <c r="J128" s="637"/>
    </row>
    <row r="129" spans="1:10" x14ac:dyDescent="0.2">
      <c r="A129" s="641" t="s">
        <v>1122</v>
      </c>
      <c r="B129" s="637"/>
      <c r="C129" s="637"/>
      <c r="D129" s="637"/>
      <c r="E129" s="637"/>
      <c r="F129" s="637"/>
      <c r="G129" s="637"/>
      <c r="H129" s="637"/>
      <c r="I129" s="637"/>
      <c r="J129" s="637"/>
    </row>
    <row r="130" spans="1:10" x14ac:dyDescent="0.2">
      <c r="A130" s="640" t="s">
        <v>659</v>
      </c>
      <c r="B130" s="637">
        <v>7532468.4000000004</v>
      </c>
      <c r="C130" s="637">
        <v>7337000</v>
      </c>
      <c r="D130" s="637">
        <v>7493084.8499999996</v>
      </c>
      <c r="E130" s="637">
        <v>615483.26</v>
      </c>
      <c r="F130" s="637">
        <v>6236898.5199999996</v>
      </c>
      <c r="G130" s="637">
        <v>6238858.0700000003</v>
      </c>
      <c r="H130" s="637">
        <v>1959.55</v>
      </c>
      <c r="I130" s="637">
        <v>3.6762666683226197E-2</v>
      </c>
      <c r="J130" s="637">
        <v>7493084.8499999996</v>
      </c>
    </row>
    <row r="131" spans="1:10" x14ac:dyDescent="0.2">
      <c r="A131" s="641" t="s">
        <v>1212</v>
      </c>
      <c r="B131" s="637">
        <v>1134988.1200000001</v>
      </c>
      <c r="C131" s="637">
        <v>1117200</v>
      </c>
      <c r="D131" s="637">
        <v>1090901.79</v>
      </c>
      <c r="E131" s="637">
        <v>89663.13</v>
      </c>
      <c r="F131" s="637">
        <v>908586.42</v>
      </c>
      <c r="G131" s="637">
        <v>908586.42</v>
      </c>
      <c r="H131" s="637">
        <v>0</v>
      </c>
      <c r="I131" s="637">
        <v>0</v>
      </c>
      <c r="J131" s="637">
        <v>1090901.79</v>
      </c>
    </row>
    <row r="132" spans="1:10" x14ac:dyDescent="0.2">
      <c r="A132" s="641" t="s">
        <v>1213</v>
      </c>
      <c r="B132" s="637">
        <v>6397480.2800000003</v>
      </c>
      <c r="C132" s="637">
        <v>6219800</v>
      </c>
      <c r="D132" s="637">
        <v>6402183.0599999996</v>
      </c>
      <c r="E132" s="637">
        <v>525820.13</v>
      </c>
      <c r="F132" s="637">
        <v>5328312.0999999996</v>
      </c>
      <c r="G132" s="637">
        <v>5330271.6500000004</v>
      </c>
      <c r="H132" s="637">
        <v>1959.55</v>
      </c>
      <c r="I132" s="637">
        <v>3.6762666683226197E-2</v>
      </c>
      <c r="J132" s="637">
        <v>6402183.0599999996</v>
      </c>
    </row>
    <row r="133" spans="1:10" x14ac:dyDescent="0.2">
      <c r="A133" s="641" t="s">
        <v>1122</v>
      </c>
      <c r="B133" s="637"/>
      <c r="C133" s="637"/>
      <c r="D133" s="637"/>
      <c r="E133" s="637"/>
      <c r="F133" s="637"/>
      <c r="G133" s="637"/>
      <c r="H133" s="637"/>
      <c r="I133" s="637"/>
      <c r="J133" s="637"/>
    </row>
    <row r="134" spans="1:10" x14ac:dyDescent="0.2">
      <c r="A134" s="639" t="s">
        <v>1214</v>
      </c>
      <c r="B134" s="637"/>
      <c r="C134" s="637"/>
      <c r="D134" s="637"/>
      <c r="E134" s="637"/>
      <c r="F134" s="637"/>
      <c r="G134" s="637"/>
      <c r="H134" s="637"/>
      <c r="I134" s="637"/>
      <c r="J134" s="637"/>
    </row>
    <row r="135" spans="1:10" x14ac:dyDescent="0.2">
      <c r="A135" s="640" t="s">
        <v>1214</v>
      </c>
      <c r="B135" s="637"/>
      <c r="C135" s="637"/>
      <c r="D135" s="637"/>
      <c r="E135" s="637"/>
      <c r="F135" s="637"/>
      <c r="G135" s="637"/>
      <c r="H135" s="637"/>
      <c r="I135" s="637"/>
      <c r="J135" s="637"/>
    </row>
    <row r="136" spans="1:10" x14ac:dyDescent="0.2">
      <c r="A136" s="641" t="s">
        <v>1214</v>
      </c>
      <c r="B136" s="637"/>
      <c r="C136" s="637"/>
      <c r="D136" s="637"/>
      <c r="E136" s="637"/>
      <c r="F136" s="637"/>
      <c r="G136" s="637"/>
      <c r="H136" s="637"/>
      <c r="I136" s="637"/>
      <c r="J136" s="637"/>
    </row>
    <row r="137" spans="1:10" x14ac:dyDescent="0.2">
      <c r="A137" s="639" t="s">
        <v>1215</v>
      </c>
      <c r="B137" s="637">
        <v>40995590.259999998</v>
      </c>
      <c r="C137" s="637">
        <v>37532000</v>
      </c>
      <c r="D137" s="637">
        <v>42890116.450000003</v>
      </c>
      <c r="E137" s="637">
        <v>3458383.31</v>
      </c>
      <c r="F137" s="637">
        <v>35044951.240000002</v>
      </c>
      <c r="G137" s="637">
        <v>35464260.770000003</v>
      </c>
      <c r="H137" s="637">
        <v>419309.53</v>
      </c>
      <c r="I137" s="637">
        <v>1.18902966309605</v>
      </c>
      <c r="J137" s="637">
        <v>42890116.450000003</v>
      </c>
    </row>
    <row r="138" spans="1:10" x14ac:dyDescent="0.2">
      <c r="A138" s="640" t="s">
        <v>1216</v>
      </c>
      <c r="B138" s="637"/>
      <c r="C138" s="637"/>
      <c r="D138" s="637"/>
      <c r="E138" s="637"/>
      <c r="F138" s="637"/>
      <c r="G138" s="637"/>
      <c r="H138" s="637"/>
      <c r="I138" s="637"/>
      <c r="J138" s="637"/>
    </row>
    <row r="139" spans="1:10" x14ac:dyDescent="0.2">
      <c r="A139" s="641" t="s">
        <v>1216</v>
      </c>
      <c r="B139" s="637"/>
      <c r="C139" s="637"/>
      <c r="D139" s="637"/>
      <c r="E139" s="637"/>
      <c r="F139" s="637"/>
      <c r="G139" s="637"/>
      <c r="H139" s="637"/>
      <c r="I139" s="637"/>
      <c r="J139" s="637"/>
    </row>
    <row r="140" spans="1:10" x14ac:dyDescent="0.2">
      <c r="A140" s="640" t="s">
        <v>1217</v>
      </c>
      <c r="B140" s="637">
        <v>40995590.259999998</v>
      </c>
      <c r="C140" s="637">
        <v>37532000</v>
      </c>
      <c r="D140" s="637">
        <v>42890116.450000003</v>
      </c>
      <c r="E140" s="637">
        <v>3458383.31</v>
      </c>
      <c r="F140" s="637">
        <v>35044951.240000002</v>
      </c>
      <c r="G140" s="637">
        <v>35464260.770000003</v>
      </c>
      <c r="H140" s="637">
        <v>419309.53</v>
      </c>
      <c r="I140" s="637">
        <v>1.18902966309605</v>
      </c>
      <c r="J140" s="637">
        <v>42890116.450000003</v>
      </c>
    </row>
    <row r="141" spans="1:10" x14ac:dyDescent="0.2">
      <c r="A141" s="641" t="s">
        <v>1218</v>
      </c>
      <c r="B141" s="637">
        <v>239423.84</v>
      </c>
      <c r="C141" s="637">
        <v>239400</v>
      </c>
      <c r="D141" s="637">
        <v>239423.81</v>
      </c>
      <c r="E141" s="637">
        <v>19678.66</v>
      </c>
      <c r="F141" s="637">
        <v>199410.53</v>
      </c>
      <c r="G141" s="637">
        <v>199410.53</v>
      </c>
      <c r="H141" s="637">
        <v>0</v>
      </c>
      <c r="I141" s="637">
        <v>0</v>
      </c>
      <c r="J141" s="637">
        <v>239423.81</v>
      </c>
    </row>
    <row r="142" spans="1:10" x14ac:dyDescent="0.2">
      <c r="A142" s="641" t="s">
        <v>1219</v>
      </c>
      <c r="B142" s="637"/>
      <c r="C142" s="637"/>
      <c r="D142" s="637"/>
      <c r="E142" s="637"/>
      <c r="F142" s="637"/>
      <c r="G142" s="637"/>
      <c r="H142" s="637"/>
      <c r="I142" s="637"/>
      <c r="J142" s="637"/>
    </row>
    <row r="143" spans="1:10" x14ac:dyDescent="0.2">
      <c r="A143" s="641" t="s">
        <v>1220</v>
      </c>
      <c r="B143" s="637"/>
      <c r="C143" s="637"/>
      <c r="D143" s="637"/>
      <c r="E143" s="637"/>
      <c r="F143" s="637"/>
      <c r="G143" s="637"/>
      <c r="H143" s="637"/>
      <c r="I143" s="637"/>
      <c r="J143" s="637"/>
    </row>
    <row r="144" spans="1:10" x14ac:dyDescent="0.2">
      <c r="A144" s="641" t="s">
        <v>1221</v>
      </c>
      <c r="B144" s="637">
        <v>40756166.420000002</v>
      </c>
      <c r="C144" s="637">
        <v>37292600</v>
      </c>
      <c r="D144" s="637">
        <v>42650692.640000001</v>
      </c>
      <c r="E144" s="637">
        <v>3438704.65</v>
      </c>
      <c r="F144" s="637">
        <v>34845540.710000001</v>
      </c>
      <c r="G144" s="637">
        <v>35264850.240000002</v>
      </c>
      <c r="H144" s="637">
        <v>419309.53</v>
      </c>
      <c r="I144" s="637">
        <v>1.18902966309605</v>
      </c>
      <c r="J144" s="637">
        <v>42650692.640000001</v>
      </c>
    </row>
    <row r="145" spans="1:10" x14ac:dyDescent="0.2">
      <c r="A145" s="641" t="s">
        <v>1222</v>
      </c>
      <c r="B145" s="637"/>
      <c r="C145" s="637"/>
      <c r="D145" s="637"/>
      <c r="E145" s="637"/>
      <c r="F145" s="637"/>
      <c r="G145" s="637"/>
      <c r="H145" s="637"/>
      <c r="I145" s="637"/>
      <c r="J145" s="637"/>
    </row>
    <row r="146" spans="1:10" x14ac:dyDescent="0.2">
      <c r="A146" s="641" t="s">
        <v>1223</v>
      </c>
      <c r="B146" s="637"/>
      <c r="C146" s="637"/>
      <c r="D146" s="637"/>
      <c r="E146" s="637"/>
      <c r="F146" s="637"/>
      <c r="G146" s="637"/>
      <c r="H146" s="637"/>
      <c r="I146" s="637"/>
      <c r="J146" s="637"/>
    </row>
    <row r="147" spans="1:10" x14ac:dyDescent="0.2">
      <c r="A147" s="639" t="s">
        <v>1224</v>
      </c>
      <c r="B147" s="637">
        <v>3288649.47</v>
      </c>
      <c r="C147" s="637">
        <v>4041900</v>
      </c>
      <c r="D147" s="637">
        <v>3970018.79</v>
      </c>
      <c r="E147" s="637">
        <v>298589.15999999997</v>
      </c>
      <c r="F147" s="637">
        <v>2982236.98</v>
      </c>
      <c r="G147" s="637">
        <v>3167227.97</v>
      </c>
      <c r="H147" s="637">
        <v>184990.99</v>
      </c>
      <c r="I147" s="637">
        <v>5.8407854361048699</v>
      </c>
      <c r="J147" s="637">
        <v>3970018.79</v>
      </c>
    </row>
    <row r="148" spans="1:10" x14ac:dyDescent="0.2">
      <c r="A148" s="640" t="s">
        <v>1224</v>
      </c>
      <c r="B148" s="637">
        <v>3288649.47</v>
      </c>
      <c r="C148" s="637">
        <v>4041900</v>
      </c>
      <c r="D148" s="637">
        <v>3970018.79</v>
      </c>
      <c r="E148" s="637">
        <v>298589.15999999997</v>
      </c>
      <c r="F148" s="637">
        <v>2982236.98</v>
      </c>
      <c r="G148" s="637">
        <v>3167227.97</v>
      </c>
      <c r="H148" s="637">
        <v>184990.99</v>
      </c>
      <c r="I148" s="637">
        <v>5.8407854361048699</v>
      </c>
      <c r="J148" s="637">
        <v>3970018.79</v>
      </c>
    </row>
    <row r="149" spans="1:10" x14ac:dyDescent="0.2">
      <c r="A149" s="641" t="s">
        <v>1224</v>
      </c>
      <c r="B149" s="637">
        <v>3288649.47</v>
      </c>
      <c r="C149" s="637">
        <v>4041900</v>
      </c>
      <c r="D149" s="637">
        <v>3970018.79</v>
      </c>
      <c r="E149" s="637">
        <v>298589.15999999997</v>
      </c>
      <c r="F149" s="637">
        <v>2982236.98</v>
      </c>
      <c r="G149" s="637">
        <v>3167227.97</v>
      </c>
      <c r="H149" s="637">
        <v>184990.99</v>
      </c>
      <c r="I149" s="637">
        <v>5.8407854361048699</v>
      </c>
      <c r="J149" s="637">
        <v>3970018.79</v>
      </c>
    </row>
    <row r="150" spans="1:10" x14ac:dyDescent="0.2">
      <c r="A150" s="639" t="s">
        <v>1225</v>
      </c>
      <c r="B150" s="637">
        <v>1164662.73</v>
      </c>
      <c r="C150" s="637">
        <v>1567700</v>
      </c>
      <c r="D150" s="637">
        <v>1248865.8400000001</v>
      </c>
      <c r="E150" s="637">
        <v>109074.16</v>
      </c>
      <c r="F150" s="637">
        <v>1099660.8700000001</v>
      </c>
      <c r="G150" s="637">
        <v>1082399.3400000001</v>
      </c>
      <c r="H150" s="637">
        <v>-17261.53</v>
      </c>
      <c r="I150" s="637">
        <v>-1.5947469073660001</v>
      </c>
      <c r="J150" s="637">
        <v>1248865.8400000001</v>
      </c>
    </row>
    <row r="151" spans="1:10" x14ac:dyDescent="0.2">
      <c r="A151" s="640" t="s">
        <v>1225</v>
      </c>
      <c r="B151" s="637">
        <v>1164662.73</v>
      </c>
      <c r="C151" s="637">
        <v>1567700</v>
      </c>
      <c r="D151" s="637">
        <v>1248865.8400000001</v>
      </c>
      <c r="E151" s="637">
        <v>109074.16</v>
      </c>
      <c r="F151" s="637">
        <v>1099660.8700000001</v>
      </c>
      <c r="G151" s="637">
        <v>1082399.3400000001</v>
      </c>
      <c r="H151" s="637">
        <v>-17261.53</v>
      </c>
      <c r="I151" s="637">
        <v>-1.5947469073660001</v>
      </c>
      <c r="J151" s="637">
        <v>1248865.8400000001</v>
      </c>
    </row>
    <row r="152" spans="1:10" x14ac:dyDescent="0.2">
      <c r="A152" s="641" t="s">
        <v>1225</v>
      </c>
      <c r="B152" s="637">
        <v>1164662.73</v>
      </c>
      <c r="C152" s="637">
        <v>1567700</v>
      </c>
      <c r="D152" s="637">
        <v>1248865.8400000001</v>
      </c>
      <c r="E152" s="637">
        <v>109074.16</v>
      </c>
      <c r="F152" s="637">
        <v>1099660.8700000001</v>
      </c>
      <c r="G152" s="637">
        <v>1082399.3400000001</v>
      </c>
      <c r="H152" s="637">
        <v>-17261.53</v>
      </c>
      <c r="I152" s="637">
        <v>-1.5947469073660001</v>
      </c>
      <c r="J152" s="637">
        <v>1248865.8400000001</v>
      </c>
    </row>
    <row r="153" spans="1:10" x14ac:dyDescent="0.2">
      <c r="A153" s="639" t="s">
        <v>1226</v>
      </c>
      <c r="B153" s="637">
        <v>25414433.420000002</v>
      </c>
      <c r="C153" s="637">
        <v>32596900</v>
      </c>
      <c r="D153" s="637">
        <v>27050323.809999999</v>
      </c>
      <c r="E153" s="637">
        <v>2227826.31</v>
      </c>
      <c r="F153" s="637">
        <v>22098505.640000001</v>
      </c>
      <c r="G153" s="637">
        <v>22275032.620000001</v>
      </c>
      <c r="H153" s="637">
        <v>176526.98</v>
      </c>
      <c r="I153" s="637">
        <v>0.79248808749892596</v>
      </c>
      <c r="J153" s="637">
        <v>27050323.809999999</v>
      </c>
    </row>
    <row r="154" spans="1:10" x14ac:dyDescent="0.2">
      <c r="A154" s="640" t="s">
        <v>1226</v>
      </c>
      <c r="B154" s="637">
        <v>25414433.420000002</v>
      </c>
      <c r="C154" s="637">
        <v>32596900</v>
      </c>
      <c r="D154" s="637">
        <v>27050323.809999999</v>
      </c>
      <c r="E154" s="637">
        <v>2227826.31</v>
      </c>
      <c r="F154" s="637">
        <v>22098505.640000001</v>
      </c>
      <c r="G154" s="637">
        <v>22275032.620000001</v>
      </c>
      <c r="H154" s="637">
        <v>176526.98</v>
      </c>
      <c r="I154" s="637">
        <v>0.79248808749892596</v>
      </c>
      <c r="J154" s="637">
        <v>27050323.809999999</v>
      </c>
    </row>
    <row r="155" spans="1:10" x14ac:dyDescent="0.2">
      <c r="A155" s="641" t="s">
        <v>1226</v>
      </c>
      <c r="B155" s="637">
        <v>25414433.420000002</v>
      </c>
      <c r="C155" s="637">
        <v>32596900</v>
      </c>
      <c r="D155" s="637">
        <v>27050323.809999999</v>
      </c>
      <c r="E155" s="637">
        <v>2227826.31</v>
      </c>
      <c r="F155" s="637">
        <v>22098505.640000001</v>
      </c>
      <c r="G155" s="637">
        <v>22275032.620000001</v>
      </c>
      <c r="H155" s="637">
        <v>176526.98</v>
      </c>
      <c r="I155" s="637">
        <v>0.79248808749892596</v>
      </c>
      <c r="J155" s="637">
        <v>27050323.809999999</v>
      </c>
    </row>
    <row r="156" spans="1:10" x14ac:dyDescent="0.2">
      <c r="A156" s="639" t="s">
        <v>1227</v>
      </c>
      <c r="B156" s="637">
        <v>8020841.71</v>
      </c>
      <c r="C156" s="637">
        <v>12001400</v>
      </c>
      <c r="D156" s="637">
        <v>8528534.4800000004</v>
      </c>
      <c r="E156" s="637">
        <v>665280.31999999995</v>
      </c>
      <c r="F156" s="637">
        <v>6620301.6900000004</v>
      </c>
      <c r="G156" s="637">
        <v>6888588.6500000004</v>
      </c>
      <c r="H156" s="637">
        <v>268286.96000000002</v>
      </c>
      <c r="I156" s="637">
        <v>3.8946578701574799</v>
      </c>
      <c r="J156" s="637">
        <v>8528534.4800000004</v>
      </c>
    </row>
    <row r="157" spans="1:10" x14ac:dyDescent="0.2">
      <c r="A157" s="640" t="s">
        <v>1227</v>
      </c>
      <c r="B157" s="637">
        <v>8020841.71</v>
      </c>
      <c r="C157" s="637">
        <v>12001400</v>
      </c>
      <c r="D157" s="637">
        <v>8528534.4800000004</v>
      </c>
      <c r="E157" s="637">
        <v>665280.31999999995</v>
      </c>
      <c r="F157" s="637">
        <v>6620301.6900000004</v>
      </c>
      <c r="G157" s="637">
        <v>6888588.6500000004</v>
      </c>
      <c r="H157" s="637">
        <v>268286.96000000002</v>
      </c>
      <c r="I157" s="637">
        <v>3.8946578701574799</v>
      </c>
      <c r="J157" s="637">
        <v>8528534.4800000004</v>
      </c>
    </row>
    <row r="158" spans="1:10" x14ac:dyDescent="0.2">
      <c r="A158" s="641" t="s">
        <v>1227</v>
      </c>
      <c r="B158" s="637">
        <v>8020841.71</v>
      </c>
      <c r="C158" s="637">
        <v>12001400</v>
      </c>
      <c r="D158" s="637">
        <v>8528534.4800000004</v>
      </c>
      <c r="E158" s="637">
        <v>665280.31999999995</v>
      </c>
      <c r="F158" s="637">
        <v>6620301.6900000004</v>
      </c>
      <c r="G158" s="637">
        <v>6888588.6500000004</v>
      </c>
      <c r="H158" s="637">
        <v>268286.96000000002</v>
      </c>
      <c r="I158" s="637">
        <v>3.8946578701574799</v>
      </c>
      <c r="J158" s="637">
        <v>8528534.4800000004</v>
      </c>
    </row>
    <row r="159" spans="1:10" x14ac:dyDescent="0.2">
      <c r="A159" s="639" t="s">
        <v>1235</v>
      </c>
      <c r="B159" s="637"/>
      <c r="C159" s="637"/>
      <c r="D159" s="637"/>
      <c r="E159" s="637"/>
      <c r="F159" s="637"/>
      <c r="G159" s="637"/>
      <c r="H159" s="637"/>
      <c r="I159" s="637"/>
      <c r="J159" s="637"/>
    </row>
    <row r="160" spans="1:10" x14ac:dyDescent="0.2">
      <c r="A160" s="640" t="s">
        <v>1235</v>
      </c>
      <c r="B160" s="637"/>
      <c r="C160" s="637"/>
      <c r="D160" s="637"/>
      <c r="E160" s="637"/>
      <c r="F160" s="637"/>
      <c r="G160" s="637"/>
      <c r="H160" s="637"/>
      <c r="I160" s="637"/>
      <c r="J160" s="637"/>
    </row>
    <row r="161" spans="1:10" x14ac:dyDescent="0.2">
      <c r="A161" s="641" t="s">
        <v>1235</v>
      </c>
      <c r="B161" s="637"/>
      <c r="C161" s="637"/>
      <c r="D161" s="637"/>
      <c r="E161" s="637"/>
      <c r="F161" s="637"/>
      <c r="G161" s="637"/>
      <c r="H161" s="637"/>
      <c r="I161" s="637"/>
      <c r="J161" s="637"/>
    </row>
    <row r="162" spans="1:10" x14ac:dyDescent="0.2">
      <c r="A162" s="639" t="s">
        <v>1228</v>
      </c>
      <c r="B162" s="637"/>
      <c r="C162" s="637"/>
      <c r="D162" s="637"/>
      <c r="E162" s="637"/>
      <c r="F162" s="637"/>
      <c r="G162" s="637"/>
      <c r="H162" s="637"/>
      <c r="I162" s="637"/>
      <c r="J162" s="637"/>
    </row>
    <row r="163" spans="1:10" x14ac:dyDescent="0.2">
      <c r="A163" s="640" t="s">
        <v>1228</v>
      </c>
      <c r="B163" s="637"/>
      <c r="C163" s="637"/>
      <c r="D163" s="637"/>
      <c r="E163" s="637"/>
      <c r="F163" s="637"/>
      <c r="G163" s="637"/>
      <c r="H163" s="637"/>
      <c r="I163" s="637"/>
      <c r="J163" s="637"/>
    </row>
    <row r="164" spans="1:10" x14ac:dyDescent="0.2">
      <c r="A164" s="641" t="s">
        <v>1228</v>
      </c>
      <c r="B164" s="637"/>
      <c r="C164" s="637"/>
      <c r="D164" s="637"/>
      <c r="E164" s="637"/>
      <c r="F164" s="637"/>
      <c r="G164" s="637"/>
      <c r="H164" s="637"/>
      <c r="I164" s="637"/>
      <c r="J164" s="637"/>
    </row>
    <row r="165" spans="1:10" x14ac:dyDescent="0.2">
      <c r="A165" s="638" t="s">
        <v>982</v>
      </c>
      <c r="B165" s="637">
        <v>325363993.07999998</v>
      </c>
      <c r="C165" s="637">
        <v>305949500</v>
      </c>
      <c r="D165" s="637">
        <v>352759106.20999998</v>
      </c>
      <c r="E165" s="637">
        <v>28737476.43</v>
      </c>
      <c r="F165" s="637">
        <v>290740789.87</v>
      </c>
      <c r="G165" s="637">
        <v>292460851.92000002</v>
      </c>
      <c r="H165" s="637">
        <v>1720062.05</v>
      </c>
      <c r="I165" s="637">
        <v>572.86493031088105</v>
      </c>
      <c r="J165" s="637">
        <v>352759106.20999998</v>
      </c>
    </row>
  </sheetData>
  <pageMargins left="0.7" right="0.7" top="0.75" bottom="0.75" header="0.3" footer="0.3"/>
  <customProperties>
    <customPr name="_pios_id" r:id="rId1"/>
    <customPr name="CofWorksheetType"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K212"/>
  <sheetViews>
    <sheetView showGridLines="0" workbookViewId="0">
      <pane xSplit="2" ySplit="4" topLeftCell="C5" activePane="bottomRight" state="frozen"/>
      <selection pane="topRight"/>
      <selection pane="bottomLeft"/>
      <selection pane="bottomRight" sqref="A1:K1"/>
    </sheetView>
  </sheetViews>
  <sheetFormatPr defaultColWidth="9.28515625" defaultRowHeight="12.75" x14ac:dyDescent="0.25"/>
  <cols>
    <col min="1" max="1" width="34.28515625" style="21" customWidth="1"/>
    <col min="2" max="2" width="3.28515625" style="47" customWidth="1"/>
    <col min="3" max="8" width="8.7109375" style="21" customWidth="1"/>
    <col min="9" max="10" width="6.7109375" style="21" customWidth="1"/>
    <col min="11" max="11" width="8.7109375" style="21" customWidth="1"/>
    <col min="12" max="12" width="9.7109375" style="21" customWidth="1"/>
    <col min="13" max="13" width="9.5703125" style="21" customWidth="1"/>
    <col min="14" max="14" width="9.7109375" style="21" customWidth="1"/>
    <col min="15" max="17" width="9.5703125" style="21" customWidth="1"/>
    <col min="18" max="18" width="9.7109375" style="21" customWidth="1"/>
    <col min="19" max="21" width="9.5703125" style="21" customWidth="1"/>
    <col min="22" max="23" width="9.7109375" style="21" customWidth="1"/>
    <col min="24" max="16384" width="9.28515625" style="21"/>
  </cols>
  <sheetData>
    <row r="1" spans="1:11" x14ac:dyDescent="0.25">
      <c r="A1" s="851" t="str">
        <f>muni&amp; " - "&amp;S71Se&amp; " - "&amp;Head57</f>
        <v>KZN282 uMhlathuze - Supporting Table SC13e Monthly Budget Statement - capital expenditure on upgrading of existing assets by asset class - M10 April</v>
      </c>
      <c r="B1" s="851"/>
      <c r="C1" s="851"/>
      <c r="D1" s="851"/>
      <c r="E1" s="851"/>
      <c r="F1" s="851"/>
      <c r="G1" s="851"/>
      <c r="H1" s="851"/>
      <c r="I1" s="851"/>
      <c r="J1" s="851"/>
      <c r="K1" s="851"/>
    </row>
    <row r="2" spans="1:11" x14ac:dyDescent="0.25">
      <c r="A2" s="837" t="str">
        <f>desc</f>
        <v>Description</v>
      </c>
      <c r="B2" s="830" t="str">
        <f>head27</f>
        <v>Ref</v>
      </c>
      <c r="C2" s="75" t="str">
        <f>Head1</f>
        <v>2023/24</v>
      </c>
      <c r="D2" s="139" t="str">
        <f>Head2</f>
        <v>Budget Year 2024/25</v>
      </c>
      <c r="E2" s="124"/>
      <c r="F2" s="124"/>
      <c r="G2" s="124"/>
      <c r="H2" s="124"/>
      <c r="I2" s="124"/>
      <c r="J2" s="124"/>
      <c r="K2" s="125"/>
    </row>
    <row r="3" spans="1:11" ht="25.5" x14ac:dyDescent="0.25">
      <c r="A3" s="838"/>
      <c r="B3" s="841"/>
      <c r="C3" s="84" t="str">
        <f>Head5</f>
        <v>Audited Outcome</v>
      </c>
      <c r="D3" s="147" t="str">
        <f>Head6</f>
        <v>Original Budget</v>
      </c>
      <c r="E3" s="76" t="str">
        <f>Head7</f>
        <v>Adjusted Budget</v>
      </c>
      <c r="F3" s="76" t="str">
        <f>Head38</f>
        <v>Monthly actual</v>
      </c>
      <c r="G3" s="76" t="str">
        <f>Head39</f>
        <v>YearTD actual</v>
      </c>
      <c r="H3" s="76" t="str">
        <f>Head40</f>
        <v>YearTD budget</v>
      </c>
      <c r="I3" s="76" t="str">
        <f>Head41</f>
        <v>YTD variance</v>
      </c>
      <c r="J3" s="376" t="str">
        <f>Head41</f>
        <v>YTD variance</v>
      </c>
      <c r="K3" s="86" t="str">
        <f>Head8</f>
        <v>Full Year Forecast</v>
      </c>
    </row>
    <row r="4" spans="1:11" x14ac:dyDescent="0.25">
      <c r="A4" s="519" t="s">
        <v>615</v>
      </c>
      <c r="B4" s="141">
        <v>1</v>
      </c>
      <c r="C4" s="520"/>
      <c r="D4" s="549"/>
      <c r="E4" s="522"/>
      <c r="F4" s="523"/>
      <c r="G4" s="523"/>
      <c r="H4" s="523"/>
      <c r="I4" s="523"/>
      <c r="J4" s="524" t="s">
        <v>528</v>
      </c>
      <c r="K4" s="525"/>
    </row>
    <row r="5" spans="1:11" ht="12.75" customHeight="1" x14ac:dyDescent="0.25">
      <c r="A5" s="92" t="s">
        <v>1229</v>
      </c>
      <c r="B5" s="90"/>
      <c r="C5" s="74"/>
      <c r="D5" s="148"/>
      <c r="E5" s="34"/>
      <c r="F5" s="34"/>
      <c r="G5" s="34"/>
      <c r="H5" s="34"/>
      <c r="I5" s="34"/>
      <c r="J5" s="189"/>
      <c r="K5" s="78"/>
    </row>
    <row r="6" spans="1:11" ht="5.0999999999999996" customHeight="1" x14ac:dyDescent="0.25">
      <c r="A6" s="29"/>
      <c r="B6" s="90"/>
      <c r="C6" s="74"/>
      <c r="D6" s="148"/>
      <c r="E6" s="34"/>
      <c r="F6" s="34"/>
      <c r="G6" s="34"/>
      <c r="H6" s="34"/>
      <c r="I6" s="34"/>
      <c r="J6" s="189"/>
      <c r="K6" s="78"/>
    </row>
    <row r="7" spans="1:11" ht="12.75" customHeight="1" x14ac:dyDescent="0.25">
      <c r="A7" s="29" t="s">
        <v>592</v>
      </c>
      <c r="B7" s="90"/>
      <c r="C7" s="69">
        <f t="shared" ref="C7:H7" si="0">C8+C13+C17+C27+C38+C45+C53+C63+C69</f>
        <v>42212708.720000006</v>
      </c>
      <c r="D7" s="39">
        <f t="shared" si="0"/>
        <v>18586000</v>
      </c>
      <c r="E7" s="38">
        <f t="shared" si="0"/>
        <v>27106100</v>
      </c>
      <c r="F7" s="38">
        <f t="shared" si="0"/>
        <v>-0.98</v>
      </c>
      <c r="G7" s="38">
        <f t="shared" si="0"/>
        <v>22227323.5</v>
      </c>
      <c r="H7" s="38">
        <f t="shared" si="0"/>
        <v>21580537.640000001</v>
      </c>
      <c r="I7" s="65">
        <f t="shared" ref="I7:I100" si="1">H7-G7</f>
        <v>-646785.8599999994</v>
      </c>
      <c r="J7" s="605">
        <f t="shared" ref="J7:J26" si="2">IF(I7=0,"",I7/H7)</f>
        <v>-2.9970794555237011E-2</v>
      </c>
      <c r="K7" s="96">
        <f>K8+K13+K17+K27+K38+K45+K53+K63+K69</f>
        <v>27106100</v>
      </c>
    </row>
    <row r="8" spans="1:11" ht="12.75" customHeight="1" x14ac:dyDescent="0.25">
      <c r="A8" s="30" t="s">
        <v>1119</v>
      </c>
      <c r="B8" s="90"/>
      <c r="C8" s="596">
        <f t="shared" ref="C8:H8" si="3">SUM(C9:C12)</f>
        <v>-82228.45</v>
      </c>
      <c r="D8" s="743">
        <f t="shared" si="3"/>
        <v>0</v>
      </c>
      <c r="E8" s="328">
        <f t="shared" si="3"/>
        <v>5000000</v>
      </c>
      <c r="F8" s="736">
        <f t="shared" si="3"/>
        <v>0</v>
      </c>
      <c r="G8" s="328">
        <f t="shared" si="3"/>
        <v>5255994</v>
      </c>
      <c r="H8" s="736">
        <f t="shared" si="3"/>
        <v>2500000</v>
      </c>
      <c r="I8" s="328">
        <f t="shared" si="1"/>
        <v>-2755994</v>
      </c>
      <c r="J8" s="534">
        <f t="shared" si="2"/>
        <v>-1.1023976</v>
      </c>
      <c r="K8" s="733">
        <f>SUM(K9:K12)</f>
        <v>5000000</v>
      </c>
    </row>
    <row r="9" spans="1:11" ht="12.75" customHeight="1" x14ac:dyDescent="0.25">
      <c r="A9" s="606" t="s">
        <v>150</v>
      </c>
      <c r="B9" s="90"/>
      <c r="C9" s="744">
        <f>SC13EQ!B6</f>
        <v>-82228.45</v>
      </c>
      <c r="D9" s="744">
        <f>SC13EQ!C6</f>
        <v>0</v>
      </c>
      <c r="E9" s="331">
        <f>SC13EQ!D6</f>
        <v>5000000</v>
      </c>
      <c r="F9" s="704">
        <f>SC13EQ!E6</f>
        <v>0</v>
      </c>
      <c r="G9" s="331">
        <f>SC13EQ!F6</f>
        <v>5255994</v>
      </c>
      <c r="H9" s="704">
        <f>SC13EQ!G6</f>
        <v>2500000</v>
      </c>
      <c r="I9" s="34">
        <f t="shared" si="1"/>
        <v>-2755994</v>
      </c>
      <c r="J9" s="572">
        <f t="shared" si="2"/>
        <v>-1.1023976</v>
      </c>
      <c r="K9" s="367">
        <f>SC13EQ!J6</f>
        <v>5000000</v>
      </c>
    </row>
    <row r="10" spans="1:11" ht="12.75" customHeight="1" x14ac:dyDescent="0.25">
      <c r="A10" s="606" t="s">
        <v>1120</v>
      </c>
      <c r="B10" s="90"/>
      <c r="C10" s="744">
        <f>SC13EQ!B7</f>
        <v>0</v>
      </c>
      <c r="D10" s="744">
        <f>SC13EQ!C7</f>
        <v>0</v>
      </c>
      <c r="E10" s="331">
        <f>SC13EQ!D7</f>
        <v>0</v>
      </c>
      <c r="F10" s="704">
        <f>SC13EQ!E7</f>
        <v>0</v>
      </c>
      <c r="G10" s="331">
        <f>SC13EQ!F7</f>
        <v>0</v>
      </c>
      <c r="H10" s="704">
        <f>SC13EQ!G7</f>
        <v>0</v>
      </c>
      <c r="I10" s="34">
        <f t="shared" si="1"/>
        <v>0</v>
      </c>
      <c r="J10" s="572" t="str">
        <f t="shared" si="2"/>
        <v/>
      </c>
      <c r="K10" s="367">
        <f>SC13EQ!J7</f>
        <v>0</v>
      </c>
    </row>
    <row r="11" spans="1:11" ht="12.75" customHeight="1" x14ac:dyDescent="0.25">
      <c r="A11" s="606" t="s">
        <v>1121</v>
      </c>
      <c r="B11" s="90"/>
      <c r="C11" s="744">
        <f>SC13EQ!B8</f>
        <v>0</v>
      </c>
      <c r="D11" s="744">
        <f>SC13EQ!C8</f>
        <v>0</v>
      </c>
      <c r="E11" s="331">
        <f>SC13EQ!D8</f>
        <v>0</v>
      </c>
      <c r="F11" s="704">
        <f>SC13EQ!E8</f>
        <v>0</v>
      </c>
      <c r="G11" s="331">
        <f>SC13EQ!F8</f>
        <v>0</v>
      </c>
      <c r="H11" s="704">
        <f>SC13EQ!G8</f>
        <v>0</v>
      </c>
      <c r="I11" s="34">
        <f t="shared" si="1"/>
        <v>0</v>
      </c>
      <c r="J11" s="572" t="str">
        <f t="shared" si="2"/>
        <v/>
      </c>
      <c r="K11" s="367">
        <f>SC13EQ!J8</f>
        <v>0</v>
      </c>
    </row>
    <row r="12" spans="1:11" ht="12.75" customHeight="1" x14ac:dyDescent="0.25">
      <c r="A12" s="606" t="s">
        <v>1122</v>
      </c>
      <c r="B12" s="90"/>
      <c r="C12" s="744">
        <f>SC13EQ!B9</f>
        <v>0</v>
      </c>
      <c r="D12" s="744">
        <f>SC13EQ!C9</f>
        <v>0</v>
      </c>
      <c r="E12" s="331">
        <f>SC13EQ!D9</f>
        <v>0</v>
      </c>
      <c r="F12" s="704">
        <f>SC13EQ!E9</f>
        <v>0</v>
      </c>
      <c r="G12" s="331">
        <f>SC13EQ!F9</f>
        <v>0</v>
      </c>
      <c r="H12" s="704">
        <f>SC13EQ!G9</f>
        <v>0</v>
      </c>
      <c r="I12" s="34">
        <f t="shared" si="1"/>
        <v>0</v>
      </c>
      <c r="J12" s="572" t="str">
        <f t="shared" si="2"/>
        <v/>
      </c>
      <c r="K12" s="367">
        <f>SC13EQ!J9</f>
        <v>0</v>
      </c>
    </row>
    <row r="13" spans="1:11" ht="12.75" customHeight="1" x14ac:dyDescent="0.25">
      <c r="A13" s="30" t="s">
        <v>1123</v>
      </c>
      <c r="B13" s="90"/>
      <c r="C13" s="74">
        <f t="shared" ref="C13:H13" si="4">SUM(C14:C16)</f>
        <v>0</v>
      </c>
      <c r="D13" s="489">
        <f t="shared" si="4"/>
        <v>0</v>
      </c>
      <c r="E13" s="34">
        <f t="shared" si="4"/>
        <v>0</v>
      </c>
      <c r="F13" s="33">
        <f t="shared" si="4"/>
        <v>0</v>
      </c>
      <c r="G13" s="34">
        <f t="shared" si="4"/>
        <v>0</v>
      </c>
      <c r="H13" s="33">
        <f t="shared" si="4"/>
        <v>0</v>
      </c>
      <c r="I13" s="34">
        <f t="shared" si="1"/>
        <v>0</v>
      </c>
      <c r="J13" s="572" t="str">
        <f t="shared" si="2"/>
        <v/>
      </c>
      <c r="K13" s="35">
        <f>SUM(K14:K16)</f>
        <v>0</v>
      </c>
    </row>
    <row r="14" spans="1:11" ht="12.75" customHeight="1" x14ac:dyDescent="0.25">
      <c r="A14" s="606" t="s">
        <v>1124</v>
      </c>
      <c r="B14" s="90"/>
      <c r="C14" s="744">
        <f>SC13EQ!B11</f>
        <v>0</v>
      </c>
      <c r="D14" s="744">
        <f>SC13EQ!C11</f>
        <v>0</v>
      </c>
      <c r="E14" s="331">
        <f>SC13EQ!D11</f>
        <v>0</v>
      </c>
      <c r="F14" s="704">
        <f>SC13EQ!E11</f>
        <v>0</v>
      </c>
      <c r="G14" s="331">
        <f>SC13EQ!F11</f>
        <v>0</v>
      </c>
      <c r="H14" s="704">
        <f>SC13EQ!G11</f>
        <v>0</v>
      </c>
      <c r="I14" s="34">
        <f t="shared" si="1"/>
        <v>0</v>
      </c>
      <c r="J14" s="572" t="str">
        <f t="shared" si="2"/>
        <v/>
      </c>
      <c r="K14" s="367">
        <f>SC13EQ!J11</f>
        <v>0</v>
      </c>
    </row>
    <row r="15" spans="1:11" ht="12.75" customHeight="1" x14ac:dyDescent="0.25">
      <c r="A15" s="606" t="s">
        <v>1125</v>
      </c>
      <c r="B15" s="90"/>
      <c r="C15" s="744">
        <f>SC13EQ!B12</f>
        <v>0</v>
      </c>
      <c r="D15" s="744">
        <f>SC13EQ!C12</f>
        <v>0</v>
      </c>
      <c r="E15" s="331">
        <f>SC13EQ!D12</f>
        <v>0</v>
      </c>
      <c r="F15" s="704">
        <f>SC13EQ!E12</f>
        <v>0</v>
      </c>
      <c r="G15" s="331">
        <f>SC13EQ!F12</f>
        <v>0</v>
      </c>
      <c r="H15" s="704">
        <f>SC13EQ!G12</f>
        <v>0</v>
      </c>
      <c r="I15" s="34">
        <f t="shared" si="1"/>
        <v>0</v>
      </c>
      <c r="J15" s="572" t="str">
        <f t="shared" si="2"/>
        <v/>
      </c>
      <c r="K15" s="367">
        <f>SC13EQ!J12</f>
        <v>0</v>
      </c>
    </row>
    <row r="16" spans="1:11" ht="12.75" customHeight="1" x14ac:dyDescent="0.25">
      <c r="A16" s="606" t="s">
        <v>1126</v>
      </c>
      <c r="B16" s="90"/>
      <c r="C16" s="744">
        <f>SC13EQ!B13</f>
        <v>0</v>
      </c>
      <c r="D16" s="744">
        <f>SC13EQ!C13</f>
        <v>0</v>
      </c>
      <c r="E16" s="331">
        <f>SC13EQ!D13</f>
        <v>0</v>
      </c>
      <c r="F16" s="704">
        <f>SC13EQ!E13</f>
        <v>0</v>
      </c>
      <c r="G16" s="331">
        <f>SC13EQ!F13</f>
        <v>0</v>
      </c>
      <c r="H16" s="704">
        <f>SC13EQ!G13</f>
        <v>0</v>
      </c>
      <c r="I16" s="34">
        <f t="shared" si="1"/>
        <v>0</v>
      </c>
      <c r="J16" s="572" t="str">
        <f t="shared" si="2"/>
        <v/>
      </c>
      <c r="K16" s="367">
        <f>SC13EQ!J13</f>
        <v>0</v>
      </c>
    </row>
    <row r="17" spans="1:11" ht="12.75" customHeight="1" x14ac:dyDescent="0.25">
      <c r="A17" s="30" t="s">
        <v>1127</v>
      </c>
      <c r="B17" s="90"/>
      <c r="C17" s="74">
        <f t="shared" ref="C17:H17" si="5">SUM(C18:C26)</f>
        <v>0</v>
      </c>
      <c r="D17" s="489">
        <f t="shared" si="5"/>
        <v>0</v>
      </c>
      <c r="E17" s="34">
        <f t="shared" si="5"/>
        <v>0</v>
      </c>
      <c r="F17" s="33">
        <f t="shared" si="5"/>
        <v>0</v>
      </c>
      <c r="G17" s="34">
        <f t="shared" si="5"/>
        <v>0</v>
      </c>
      <c r="H17" s="33">
        <f t="shared" si="5"/>
        <v>0</v>
      </c>
      <c r="I17" s="34">
        <f t="shared" si="1"/>
        <v>0</v>
      </c>
      <c r="J17" s="572" t="str">
        <f t="shared" si="2"/>
        <v/>
      </c>
      <c r="K17" s="35">
        <f>SUM(K18:K26)</f>
        <v>0</v>
      </c>
    </row>
    <row r="18" spans="1:11" ht="12.75" customHeight="1" x14ac:dyDescent="0.25">
      <c r="A18" s="606" t="s">
        <v>1128</v>
      </c>
      <c r="B18" s="90"/>
      <c r="C18" s="744">
        <f>SC13EQ!B15</f>
        <v>0</v>
      </c>
      <c r="D18" s="744">
        <f>SC13EQ!C15</f>
        <v>0</v>
      </c>
      <c r="E18" s="331">
        <f>SC13EQ!D15</f>
        <v>0</v>
      </c>
      <c r="F18" s="704">
        <f>SC13EQ!E15</f>
        <v>0</v>
      </c>
      <c r="G18" s="331">
        <f>SC13EQ!F15</f>
        <v>0</v>
      </c>
      <c r="H18" s="704">
        <f>SC13EQ!G15</f>
        <v>0</v>
      </c>
      <c r="I18" s="34">
        <f t="shared" si="1"/>
        <v>0</v>
      </c>
      <c r="J18" s="572" t="str">
        <f t="shared" si="2"/>
        <v/>
      </c>
      <c r="K18" s="367">
        <f>SC13EQ!J15</f>
        <v>0</v>
      </c>
    </row>
    <row r="19" spans="1:11" ht="12.75" customHeight="1" x14ac:dyDescent="0.25">
      <c r="A19" s="606" t="s">
        <v>1129</v>
      </c>
      <c r="B19" s="90"/>
      <c r="C19" s="744">
        <f>SC13EQ!B16</f>
        <v>0</v>
      </c>
      <c r="D19" s="744">
        <f>SC13EQ!C16</f>
        <v>0</v>
      </c>
      <c r="E19" s="331">
        <f>SC13EQ!D16</f>
        <v>0</v>
      </c>
      <c r="F19" s="704">
        <f>SC13EQ!E16</f>
        <v>0</v>
      </c>
      <c r="G19" s="331">
        <f>SC13EQ!F16</f>
        <v>0</v>
      </c>
      <c r="H19" s="704">
        <f>SC13EQ!G16</f>
        <v>0</v>
      </c>
      <c r="I19" s="34">
        <f t="shared" si="1"/>
        <v>0</v>
      </c>
      <c r="J19" s="572" t="str">
        <f t="shared" si="2"/>
        <v/>
      </c>
      <c r="K19" s="367">
        <f>SC13EQ!J16</f>
        <v>0</v>
      </c>
    </row>
    <row r="20" spans="1:11" ht="12.75" customHeight="1" x14ac:dyDescent="0.25">
      <c r="A20" s="606" t="s">
        <v>1130</v>
      </c>
      <c r="B20" s="90"/>
      <c r="C20" s="744">
        <f>SC13EQ!B17</f>
        <v>0</v>
      </c>
      <c r="D20" s="744">
        <f>SC13EQ!C17</f>
        <v>0</v>
      </c>
      <c r="E20" s="331">
        <f>SC13EQ!D17</f>
        <v>0</v>
      </c>
      <c r="F20" s="704">
        <f>SC13EQ!E17</f>
        <v>0</v>
      </c>
      <c r="G20" s="331">
        <f>SC13EQ!F17</f>
        <v>0</v>
      </c>
      <c r="H20" s="704">
        <f>SC13EQ!G17</f>
        <v>0</v>
      </c>
      <c r="I20" s="34">
        <f t="shared" si="1"/>
        <v>0</v>
      </c>
      <c r="J20" s="572" t="str">
        <f t="shared" si="2"/>
        <v/>
      </c>
      <c r="K20" s="367">
        <f>SC13EQ!J17</f>
        <v>0</v>
      </c>
    </row>
    <row r="21" spans="1:11" ht="12.75" customHeight="1" x14ac:dyDescent="0.25">
      <c r="A21" s="606" t="s">
        <v>1131</v>
      </c>
      <c r="B21" s="90"/>
      <c r="C21" s="744">
        <f>SC13EQ!B18</f>
        <v>0</v>
      </c>
      <c r="D21" s="744">
        <f>SC13EQ!C18</f>
        <v>0</v>
      </c>
      <c r="E21" s="331">
        <f>SC13EQ!D18</f>
        <v>0</v>
      </c>
      <c r="F21" s="704">
        <f>SC13EQ!E18</f>
        <v>0</v>
      </c>
      <c r="G21" s="331">
        <f>SC13EQ!F18</f>
        <v>0</v>
      </c>
      <c r="H21" s="704">
        <f>SC13EQ!G18</f>
        <v>0</v>
      </c>
      <c r="I21" s="34">
        <f t="shared" si="1"/>
        <v>0</v>
      </c>
      <c r="J21" s="572" t="str">
        <f t="shared" si="2"/>
        <v/>
      </c>
      <c r="K21" s="367">
        <f>SC13EQ!J18</f>
        <v>0</v>
      </c>
    </row>
    <row r="22" spans="1:11" ht="12.75" customHeight="1" x14ac:dyDescent="0.25">
      <c r="A22" s="606" t="s">
        <v>1132</v>
      </c>
      <c r="B22" s="90"/>
      <c r="C22" s="744">
        <f>SC13EQ!B19</f>
        <v>0</v>
      </c>
      <c r="D22" s="744">
        <f>SC13EQ!C19</f>
        <v>0</v>
      </c>
      <c r="E22" s="331">
        <f>SC13EQ!D19</f>
        <v>0</v>
      </c>
      <c r="F22" s="704">
        <f>SC13EQ!E19</f>
        <v>0</v>
      </c>
      <c r="G22" s="331">
        <f>SC13EQ!F19</f>
        <v>0</v>
      </c>
      <c r="H22" s="704">
        <f>SC13EQ!G19</f>
        <v>0</v>
      </c>
      <c r="I22" s="34">
        <f t="shared" si="1"/>
        <v>0</v>
      </c>
      <c r="J22" s="572" t="str">
        <f t="shared" si="2"/>
        <v/>
      </c>
      <c r="K22" s="367">
        <f>SC13EQ!J19</f>
        <v>0</v>
      </c>
    </row>
    <row r="23" spans="1:11" ht="12.75" customHeight="1" x14ac:dyDescent="0.25">
      <c r="A23" s="606" t="s">
        <v>1133</v>
      </c>
      <c r="B23" s="90"/>
      <c r="C23" s="744">
        <f>SC13EQ!B20</f>
        <v>0</v>
      </c>
      <c r="D23" s="744">
        <f>SC13EQ!C20</f>
        <v>0</v>
      </c>
      <c r="E23" s="331">
        <f>SC13EQ!D20</f>
        <v>0</v>
      </c>
      <c r="F23" s="704">
        <f>SC13EQ!E20</f>
        <v>0</v>
      </c>
      <c r="G23" s="331">
        <f>SC13EQ!F20</f>
        <v>0</v>
      </c>
      <c r="H23" s="704">
        <f>SC13EQ!G20</f>
        <v>0</v>
      </c>
      <c r="I23" s="34">
        <f t="shared" si="1"/>
        <v>0</v>
      </c>
      <c r="J23" s="572" t="str">
        <f t="shared" si="2"/>
        <v/>
      </c>
      <c r="K23" s="367">
        <f>SC13EQ!J20</f>
        <v>0</v>
      </c>
    </row>
    <row r="24" spans="1:11" ht="12.75" customHeight="1" x14ac:dyDescent="0.25">
      <c r="A24" s="606" t="s">
        <v>1134</v>
      </c>
      <c r="B24" s="90"/>
      <c r="C24" s="744">
        <f>SC13EQ!B21</f>
        <v>0</v>
      </c>
      <c r="D24" s="744">
        <f>SC13EQ!C21</f>
        <v>0</v>
      </c>
      <c r="E24" s="331">
        <f>SC13EQ!D21</f>
        <v>0</v>
      </c>
      <c r="F24" s="704">
        <f>SC13EQ!E21</f>
        <v>0</v>
      </c>
      <c r="G24" s="331">
        <f>SC13EQ!F21</f>
        <v>0</v>
      </c>
      <c r="H24" s="704">
        <f>SC13EQ!G21</f>
        <v>0</v>
      </c>
      <c r="I24" s="34">
        <f t="shared" si="1"/>
        <v>0</v>
      </c>
      <c r="J24" s="572" t="str">
        <f t="shared" si="2"/>
        <v/>
      </c>
      <c r="K24" s="367">
        <f>SC13EQ!J21</f>
        <v>0</v>
      </c>
    </row>
    <row r="25" spans="1:11" ht="12.75" customHeight="1" x14ac:dyDescent="0.25">
      <c r="A25" s="606" t="s">
        <v>1135</v>
      </c>
      <c r="B25" s="90"/>
      <c r="C25" s="744">
        <f>SC13EQ!B22</f>
        <v>0</v>
      </c>
      <c r="D25" s="744">
        <f>SC13EQ!C22</f>
        <v>0</v>
      </c>
      <c r="E25" s="331">
        <f>SC13EQ!D22</f>
        <v>0</v>
      </c>
      <c r="F25" s="704">
        <f>SC13EQ!E22</f>
        <v>0</v>
      </c>
      <c r="G25" s="331">
        <f>SC13EQ!F22</f>
        <v>0</v>
      </c>
      <c r="H25" s="704">
        <f>SC13EQ!G22</f>
        <v>0</v>
      </c>
      <c r="I25" s="34">
        <f t="shared" si="1"/>
        <v>0</v>
      </c>
      <c r="J25" s="572" t="str">
        <f t="shared" si="2"/>
        <v/>
      </c>
      <c r="K25" s="367">
        <f>SC13EQ!J22</f>
        <v>0</v>
      </c>
    </row>
    <row r="26" spans="1:11" ht="12.75" customHeight="1" x14ac:dyDescent="0.25">
      <c r="A26" s="606" t="s">
        <v>1122</v>
      </c>
      <c r="B26" s="90"/>
      <c r="C26" s="744">
        <f>SC13EQ!B23</f>
        <v>0</v>
      </c>
      <c r="D26" s="744">
        <f>SC13EQ!C23</f>
        <v>0</v>
      </c>
      <c r="E26" s="331">
        <f>SC13EQ!D23</f>
        <v>0</v>
      </c>
      <c r="F26" s="704">
        <f>SC13EQ!E23</f>
        <v>0</v>
      </c>
      <c r="G26" s="331">
        <f>SC13EQ!F23</f>
        <v>0</v>
      </c>
      <c r="H26" s="704">
        <f>SC13EQ!G23</f>
        <v>0</v>
      </c>
      <c r="I26" s="34">
        <f t="shared" si="1"/>
        <v>0</v>
      </c>
      <c r="J26" s="572" t="str">
        <f t="shared" si="2"/>
        <v/>
      </c>
      <c r="K26" s="367">
        <f>SC13EQ!J23</f>
        <v>0</v>
      </c>
    </row>
    <row r="27" spans="1:11" ht="12.75" customHeight="1" x14ac:dyDescent="0.25">
      <c r="A27" s="30" t="s">
        <v>1136</v>
      </c>
      <c r="B27" s="90"/>
      <c r="C27" s="74">
        <f t="shared" ref="C27:H27" si="6">SUM(C28:C37)</f>
        <v>27683228.060000002</v>
      </c>
      <c r="D27" s="489">
        <f t="shared" si="6"/>
        <v>2500000</v>
      </c>
      <c r="E27" s="34">
        <f t="shared" si="6"/>
        <v>6700000</v>
      </c>
      <c r="F27" s="33">
        <f t="shared" si="6"/>
        <v>0</v>
      </c>
      <c r="G27" s="34">
        <f t="shared" si="6"/>
        <v>4374485.76</v>
      </c>
      <c r="H27" s="33">
        <f t="shared" si="6"/>
        <v>4374485.76</v>
      </c>
      <c r="I27" s="34">
        <f t="shared" si="1"/>
        <v>0</v>
      </c>
      <c r="J27" s="572">
        <f>IF(H27=0,"",I27/H27)</f>
        <v>0</v>
      </c>
      <c r="K27" s="35">
        <f>SUM(K28:K37)</f>
        <v>6700000</v>
      </c>
    </row>
    <row r="28" spans="1:11" ht="12.75" customHeight="1" x14ac:dyDescent="0.25">
      <c r="A28" s="606" t="s">
        <v>1137</v>
      </c>
      <c r="B28" s="90"/>
      <c r="C28" s="744">
        <f>SC13EQ!B25</f>
        <v>0</v>
      </c>
      <c r="D28" s="744">
        <f>SC13EQ!C25</f>
        <v>0</v>
      </c>
      <c r="E28" s="331">
        <f>SC13EQ!D25</f>
        <v>0</v>
      </c>
      <c r="F28" s="704">
        <f>SC13EQ!E25</f>
        <v>0</v>
      </c>
      <c r="G28" s="331">
        <f>SC13EQ!F25</f>
        <v>0</v>
      </c>
      <c r="H28" s="704">
        <f>SC13EQ!G25</f>
        <v>0</v>
      </c>
      <c r="I28" s="34">
        <f t="shared" si="1"/>
        <v>0</v>
      </c>
      <c r="J28" s="572" t="str">
        <f t="shared" ref="J28:J67" si="7">IF(H28=0,"",I28/H28)</f>
        <v/>
      </c>
      <c r="K28" s="367">
        <f>SC13EQ!J25</f>
        <v>0</v>
      </c>
    </row>
    <row r="29" spans="1:11" ht="12.75" customHeight="1" x14ac:dyDescent="0.25">
      <c r="A29" s="606" t="s">
        <v>1138</v>
      </c>
      <c r="B29" s="90"/>
      <c r="C29" s="744">
        <f>SC13EQ!B26</f>
        <v>0</v>
      </c>
      <c r="D29" s="744">
        <f>SC13EQ!C26</f>
        <v>0</v>
      </c>
      <c r="E29" s="331">
        <f>SC13EQ!D26</f>
        <v>0</v>
      </c>
      <c r="F29" s="704">
        <f>SC13EQ!E26</f>
        <v>0</v>
      </c>
      <c r="G29" s="331">
        <f>SC13EQ!F26</f>
        <v>0</v>
      </c>
      <c r="H29" s="704">
        <f>SC13EQ!G26</f>
        <v>0</v>
      </c>
      <c r="I29" s="34">
        <f t="shared" si="1"/>
        <v>0</v>
      </c>
      <c r="J29" s="572" t="str">
        <f t="shared" si="7"/>
        <v/>
      </c>
      <c r="K29" s="367">
        <f>SC13EQ!J26</f>
        <v>0</v>
      </c>
    </row>
    <row r="30" spans="1:11" ht="12.75" customHeight="1" x14ac:dyDescent="0.25">
      <c r="A30" s="606" t="s">
        <v>1139</v>
      </c>
      <c r="B30" s="90"/>
      <c r="C30" s="744">
        <f>SC13EQ!B27</f>
        <v>0</v>
      </c>
      <c r="D30" s="744">
        <f>SC13EQ!C27</f>
        <v>0</v>
      </c>
      <c r="E30" s="331">
        <f>SC13EQ!D27</f>
        <v>0</v>
      </c>
      <c r="F30" s="704">
        <f>SC13EQ!E27</f>
        <v>0</v>
      </c>
      <c r="G30" s="331">
        <f>SC13EQ!F27</f>
        <v>0</v>
      </c>
      <c r="H30" s="704">
        <f>SC13EQ!G27</f>
        <v>0</v>
      </c>
      <c r="I30" s="34">
        <f t="shared" si="1"/>
        <v>0</v>
      </c>
      <c r="J30" s="572" t="str">
        <f t="shared" si="7"/>
        <v/>
      </c>
      <c r="K30" s="367">
        <f>SC13EQ!J27</f>
        <v>0</v>
      </c>
    </row>
    <row r="31" spans="1:11" ht="12.75" customHeight="1" x14ac:dyDescent="0.25">
      <c r="A31" s="606" t="s">
        <v>1140</v>
      </c>
      <c r="B31" s="90"/>
      <c r="C31" s="744">
        <f>SC13EQ!B28</f>
        <v>5636170.9400000004</v>
      </c>
      <c r="D31" s="744">
        <f>SC13EQ!C28</f>
        <v>0</v>
      </c>
      <c r="E31" s="331">
        <f>SC13EQ!D28</f>
        <v>0</v>
      </c>
      <c r="F31" s="704">
        <f>SC13EQ!E28</f>
        <v>0</v>
      </c>
      <c r="G31" s="331">
        <f>SC13EQ!F28</f>
        <v>0</v>
      </c>
      <c r="H31" s="704">
        <f>SC13EQ!G28</f>
        <v>0</v>
      </c>
      <c r="I31" s="34">
        <f t="shared" si="1"/>
        <v>0</v>
      </c>
      <c r="J31" s="572" t="str">
        <f t="shared" si="7"/>
        <v/>
      </c>
      <c r="K31" s="367">
        <f>SC13EQ!J28</f>
        <v>0</v>
      </c>
    </row>
    <row r="32" spans="1:11" ht="12.75" customHeight="1" x14ac:dyDescent="0.25">
      <c r="A32" s="606" t="s">
        <v>1141</v>
      </c>
      <c r="B32" s="90"/>
      <c r="C32" s="744">
        <f>SC13EQ!B29</f>
        <v>13456885.550000001</v>
      </c>
      <c r="D32" s="744">
        <f>SC13EQ!C29</f>
        <v>1000000</v>
      </c>
      <c r="E32" s="331">
        <f>SC13EQ!D29</f>
        <v>1000000</v>
      </c>
      <c r="F32" s="704">
        <f>SC13EQ!E29</f>
        <v>0</v>
      </c>
      <c r="G32" s="331">
        <f>SC13EQ!F29</f>
        <v>0</v>
      </c>
      <c r="H32" s="704">
        <f>SC13EQ!G29</f>
        <v>0</v>
      </c>
      <c r="I32" s="34">
        <f t="shared" si="1"/>
        <v>0</v>
      </c>
      <c r="J32" s="572" t="str">
        <f t="shared" si="7"/>
        <v/>
      </c>
      <c r="K32" s="367">
        <f>SC13EQ!J29</f>
        <v>1000000</v>
      </c>
    </row>
    <row r="33" spans="1:11" ht="12.75" customHeight="1" x14ac:dyDescent="0.25">
      <c r="A33" s="606" t="s">
        <v>1142</v>
      </c>
      <c r="B33" s="90"/>
      <c r="C33" s="744">
        <f>SC13EQ!B30</f>
        <v>0</v>
      </c>
      <c r="D33" s="744">
        <f>SC13EQ!C30</f>
        <v>0</v>
      </c>
      <c r="E33" s="331">
        <f>SC13EQ!D30</f>
        <v>0</v>
      </c>
      <c r="F33" s="704">
        <f>SC13EQ!E30</f>
        <v>0</v>
      </c>
      <c r="G33" s="331">
        <f>SC13EQ!F30</f>
        <v>0</v>
      </c>
      <c r="H33" s="704">
        <f>SC13EQ!G30</f>
        <v>0</v>
      </c>
      <c r="I33" s="34">
        <f t="shared" si="1"/>
        <v>0</v>
      </c>
      <c r="J33" s="572" t="str">
        <f t="shared" si="7"/>
        <v/>
      </c>
      <c r="K33" s="367">
        <f>SC13EQ!J30</f>
        <v>0</v>
      </c>
    </row>
    <row r="34" spans="1:11" ht="12.75" customHeight="1" x14ac:dyDescent="0.25">
      <c r="A34" s="606" t="s">
        <v>1143</v>
      </c>
      <c r="B34" s="90"/>
      <c r="C34" s="744">
        <f>SC13EQ!B31</f>
        <v>8590171.5700000003</v>
      </c>
      <c r="D34" s="744">
        <f>SC13EQ!C31</f>
        <v>1500000</v>
      </c>
      <c r="E34" s="331">
        <f>SC13EQ!D31</f>
        <v>5700000</v>
      </c>
      <c r="F34" s="704">
        <f>SC13EQ!E31</f>
        <v>0</v>
      </c>
      <c r="G34" s="331">
        <f>SC13EQ!F31</f>
        <v>4374485.76</v>
      </c>
      <c r="H34" s="704">
        <f>SC13EQ!G31</f>
        <v>4374485.76</v>
      </c>
      <c r="I34" s="34">
        <f t="shared" si="1"/>
        <v>0</v>
      </c>
      <c r="J34" s="572">
        <f t="shared" si="7"/>
        <v>0</v>
      </c>
      <c r="K34" s="367">
        <f>SC13EQ!J31</f>
        <v>5700000</v>
      </c>
    </row>
    <row r="35" spans="1:11" ht="12.75" customHeight="1" x14ac:dyDescent="0.25">
      <c r="A35" s="606" t="s">
        <v>1144</v>
      </c>
      <c r="B35" s="90"/>
      <c r="C35" s="744">
        <f>SC13EQ!B32</f>
        <v>0</v>
      </c>
      <c r="D35" s="744">
        <f>SC13EQ!C32</f>
        <v>0</v>
      </c>
      <c r="E35" s="331">
        <f>SC13EQ!D32</f>
        <v>0</v>
      </c>
      <c r="F35" s="704">
        <f>SC13EQ!E32</f>
        <v>0</v>
      </c>
      <c r="G35" s="331">
        <f>SC13EQ!F32</f>
        <v>0</v>
      </c>
      <c r="H35" s="704">
        <f>SC13EQ!G32</f>
        <v>0</v>
      </c>
      <c r="I35" s="34">
        <f t="shared" si="1"/>
        <v>0</v>
      </c>
      <c r="J35" s="572" t="str">
        <f t="shared" si="7"/>
        <v/>
      </c>
      <c r="K35" s="367">
        <f>SC13EQ!J32</f>
        <v>0</v>
      </c>
    </row>
    <row r="36" spans="1:11" ht="12.75" customHeight="1" x14ac:dyDescent="0.25">
      <c r="A36" s="606" t="s">
        <v>1145</v>
      </c>
      <c r="B36" s="90"/>
      <c r="C36" s="744">
        <f>SC13EQ!B33</f>
        <v>0</v>
      </c>
      <c r="D36" s="744">
        <f>SC13EQ!C33</f>
        <v>0</v>
      </c>
      <c r="E36" s="331">
        <f>SC13EQ!D33</f>
        <v>0</v>
      </c>
      <c r="F36" s="704">
        <f>SC13EQ!E33</f>
        <v>0</v>
      </c>
      <c r="G36" s="331">
        <f>SC13EQ!F33</f>
        <v>0</v>
      </c>
      <c r="H36" s="704">
        <f>SC13EQ!G33</f>
        <v>0</v>
      </c>
      <c r="I36" s="34">
        <f t="shared" si="1"/>
        <v>0</v>
      </c>
      <c r="J36" s="572" t="str">
        <f t="shared" si="7"/>
        <v/>
      </c>
      <c r="K36" s="367">
        <f>SC13EQ!J33</f>
        <v>0</v>
      </c>
    </row>
    <row r="37" spans="1:11" ht="12.75" customHeight="1" x14ac:dyDescent="0.25">
      <c r="A37" s="606" t="s">
        <v>1122</v>
      </c>
      <c r="B37" s="90"/>
      <c r="C37" s="744">
        <f>SC13EQ!B34</f>
        <v>0</v>
      </c>
      <c r="D37" s="744">
        <f>SC13EQ!C34</f>
        <v>0</v>
      </c>
      <c r="E37" s="331">
        <f>SC13EQ!D34</f>
        <v>0</v>
      </c>
      <c r="F37" s="704">
        <f>SC13EQ!E34</f>
        <v>0</v>
      </c>
      <c r="G37" s="331">
        <f>SC13EQ!F34</f>
        <v>0</v>
      </c>
      <c r="H37" s="704">
        <f>SC13EQ!G34</f>
        <v>0</v>
      </c>
      <c r="I37" s="34">
        <f t="shared" si="1"/>
        <v>0</v>
      </c>
      <c r="J37" s="572" t="str">
        <f t="shared" si="7"/>
        <v/>
      </c>
      <c r="K37" s="367">
        <f>SC13EQ!J34</f>
        <v>0</v>
      </c>
    </row>
    <row r="38" spans="1:11" ht="12.75" customHeight="1" x14ac:dyDescent="0.25">
      <c r="A38" s="30" t="s">
        <v>1146</v>
      </c>
      <c r="B38" s="90"/>
      <c r="C38" s="74">
        <f t="shared" ref="C38:H38" si="8">SUM(C39:C44)</f>
        <v>12598675.34</v>
      </c>
      <c r="D38" s="489">
        <f t="shared" si="8"/>
        <v>2000000</v>
      </c>
      <c r="E38" s="34">
        <f t="shared" si="8"/>
        <v>1900100</v>
      </c>
      <c r="F38" s="33">
        <f t="shared" si="8"/>
        <v>0</v>
      </c>
      <c r="G38" s="34">
        <f t="shared" si="8"/>
        <v>1900051.88</v>
      </c>
      <c r="H38" s="33">
        <f t="shared" si="8"/>
        <v>1900051.88</v>
      </c>
      <c r="I38" s="34">
        <f t="shared" si="1"/>
        <v>0</v>
      </c>
      <c r="J38" s="572">
        <f t="shared" si="7"/>
        <v>0</v>
      </c>
      <c r="K38" s="35">
        <f>SUM(K39:K44)</f>
        <v>1900100</v>
      </c>
    </row>
    <row r="39" spans="1:11" ht="12.75" customHeight="1" x14ac:dyDescent="0.25">
      <c r="A39" s="606" t="s">
        <v>1147</v>
      </c>
      <c r="B39" s="90"/>
      <c r="C39" s="744">
        <f>SC13EQ!B36</f>
        <v>-351744.1</v>
      </c>
      <c r="D39" s="744">
        <f>SC13EQ!C36</f>
        <v>0</v>
      </c>
      <c r="E39" s="331">
        <f>SC13EQ!D36</f>
        <v>0</v>
      </c>
      <c r="F39" s="704">
        <f>SC13EQ!E36</f>
        <v>0</v>
      </c>
      <c r="G39" s="331">
        <f>SC13EQ!F36</f>
        <v>0</v>
      </c>
      <c r="H39" s="704">
        <f>SC13EQ!G36</f>
        <v>0</v>
      </c>
      <c r="I39" s="34">
        <f t="shared" si="1"/>
        <v>0</v>
      </c>
      <c r="J39" s="572" t="str">
        <f t="shared" si="7"/>
        <v/>
      </c>
      <c r="K39" s="367">
        <f>SC13EQ!J36</f>
        <v>0</v>
      </c>
    </row>
    <row r="40" spans="1:11" ht="12.75" customHeight="1" x14ac:dyDescent="0.25">
      <c r="A40" s="606" t="s">
        <v>117</v>
      </c>
      <c r="B40" s="90"/>
      <c r="C40" s="744">
        <f>SC13EQ!B37</f>
        <v>0</v>
      </c>
      <c r="D40" s="744">
        <f>SC13EQ!C37</f>
        <v>0</v>
      </c>
      <c r="E40" s="331">
        <f>SC13EQ!D37</f>
        <v>0</v>
      </c>
      <c r="F40" s="704">
        <f>SC13EQ!E37</f>
        <v>0</v>
      </c>
      <c r="G40" s="331">
        <f>SC13EQ!F37</f>
        <v>0</v>
      </c>
      <c r="H40" s="704">
        <f>SC13EQ!G37</f>
        <v>0</v>
      </c>
      <c r="I40" s="34">
        <f t="shared" si="1"/>
        <v>0</v>
      </c>
      <c r="J40" s="572" t="str">
        <f t="shared" si="7"/>
        <v/>
      </c>
      <c r="K40" s="367">
        <f>SC13EQ!J37</f>
        <v>0</v>
      </c>
    </row>
    <row r="41" spans="1:11" ht="12.75" customHeight="1" x14ac:dyDescent="0.25">
      <c r="A41" s="606" t="s">
        <v>1148</v>
      </c>
      <c r="B41" s="90"/>
      <c r="C41" s="744">
        <f>SC13EQ!B38</f>
        <v>5583902.9199999999</v>
      </c>
      <c r="D41" s="744">
        <f>SC13EQ!C38</f>
        <v>0</v>
      </c>
      <c r="E41" s="331">
        <f>SC13EQ!D38</f>
        <v>0</v>
      </c>
      <c r="F41" s="704">
        <f>SC13EQ!E38</f>
        <v>0</v>
      </c>
      <c r="G41" s="331">
        <f>SC13EQ!F38</f>
        <v>0</v>
      </c>
      <c r="H41" s="704">
        <f>SC13EQ!G38</f>
        <v>0</v>
      </c>
      <c r="I41" s="34">
        <f t="shared" si="1"/>
        <v>0</v>
      </c>
      <c r="J41" s="572" t="str">
        <f t="shared" si="7"/>
        <v/>
      </c>
      <c r="K41" s="367">
        <f>SC13EQ!J38</f>
        <v>0</v>
      </c>
    </row>
    <row r="42" spans="1:11" ht="12.75" customHeight="1" x14ac:dyDescent="0.25">
      <c r="A42" s="606" t="s">
        <v>1149</v>
      </c>
      <c r="B42" s="90"/>
      <c r="C42" s="744">
        <f>SC13EQ!B39</f>
        <v>7366516.5199999996</v>
      </c>
      <c r="D42" s="744">
        <f>SC13EQ!C39</f>
        <v>2000000</v>
      </c>
      <c r="E42" s="331">
        <f>SC13EQ!D39</f>
        <v>1900100</v>
      </c>
      <c r="F42" s="704">
        <f>SC13EQ!E39</f>
        <v>0</v>
      </c>
      <c r="G42" s="331">
        <f>SC13EQ!F39</f>
        <v>1900051.88</v>
      </c>
      <c r="H42" s="704">
        <f>SC13EQ!G39</f>
        <v>1900051.88</v>
      </c>
      <c r="I42" s="34">
        <f t="shared" si="1"/>
        <v>0</v>
      </c>
      <c r="J42" s="572">
        <f t="shared" si="7"/>
        <v>0</v>
      </c>
      <c r="K42" s="367">
        <f>SC13EQ!J39</f>
        <v>1900100</v>
      </c>
    </row>
    <row r="43" spans="1:11" ht="12.75" customHeight="1" x14ac:dyDescent="0.25">
      <c r="A43" s="606" t="s">
        <v>1150</v>
      </c>
      <c r="B43" s="90"/>
      <c r="C43" s="744">
        <f>SC13EQ!B40</f>
        <v>0</v>
      </c>
      <c r="D43" s="744">
        <f>SC13EQ!C40</f>
        <v>0</v>
      </c>
      <c r="E43" s="331">
        <f>SC13EQ!D40</f>
        <v>0</v>
      </c>
      <c r="F43" s="704">
        <f>SC13EQ!E40</f>
        <v>0</v>
      </c>
      <c r="G43" s="331">
        <f>SC13EQ!F40</f>
        <v>0</v>
      </c>
      <c r="H43" s="704">
        <f>SC13EQ!G40</f>
        <v>0</v>
      </c>
      <c r="I43" s="34">
        <f t="shared" si="1"/>
        <v>0</v>
      </c>
      <c r="J43" s="572" t="str">
        <f t="shared" si="7"/>
        <v/>
      </c>
      <c r="K43" s="367">
        <f>SC13EQ!J40</f>
        <v>0</v>
      </c>
    </row>
    <row r="44" spans="1:11" ht="12.75" customHeight="1" x14ac:dyDescent="0.25">
      <c r="A44" s="606" t="s">
        <v>1122</v>
      </c>
      <c r="B44" s="90"/>
      <c r="C44" s="744">
        <f>SC13EQ!B41</f>
        <v>0</v>
      </c>
      <c r="D44" s="744">
        <f>SC13EQ!C41</f>
        <v>0</v>
      </c>
      <c r="E44" s="331">
        <f>SC13EQ!D41</f>
        <v>0</v>
      </c>
      <c r="F44" s="704">
        <f>SC13EQ!E41</f>
        <v>0</v>
      </c>
      <c r="G44" s="331">
        <f>SC13EQ!F41</f>
        <v>0</v>
      </c>
      <c r="H44" s="704">
        <f>SC13EQ!G41</f>
        <v>0</v>
      </c>
      <c r="I44" s="34">
        <f t="shared" si="1"/>
        <v>0</v>
      </c>
      <c r="J44" s="572" t="str">
        <f t="shared" si="7"/>
        <v/>
      </c>
      <c r="K44" s="367">
        <f>SC13EQ!J41</f>
        <v>0</v>
      </c>
    </row>
    <row r="45" spans="1:11" ht="12.75" customHeight="1" x14ac:dyDescent="0.25">
      <c r="A45" s="30" t="s">
        <v>1151</v>
      </c>
      <c r="B45" s="90"/>
      <c r="C45" s="74">
        <f t="shared" ref="C45:H45" si="9">SUM(C46:C52)</f>
        <v>0</v>
      </c>
      <c r="D45" s="489">
        <f t="shared" si="9"/>
        <v>9586000</v>
      </c>
      <c r="E45" s="34">
        <f t="shared" si="9"/>
        <v>8886000</v>
      </c>
      <c r="F45" s="33">
        <f t="shared" si="9"/>
        <v>0</v>
      </c>
      <c r="G45" s="34">
        <f t="shared" si="9"/>
        <v>0</v>
      </c>
      <c r="H45" s="33">
        <f t="shared" si="9"/>
        <v>8186000</v>
      </c>
      <c r="I45" s="34">
        <f t="shared" si="1"/>
        <v>8186000</v>
      </c>
      <c r="J45" s="572">
        <f t="shared" si="7"/>
        <v>1</v>
      </c>
      <c r="K45" s="35">
        <f>SUM(K46:K52)</f>
        <v>8886000</v>
      </c>
    </row>
    <row r="46" spans="1:11" ht="12.75" customHeight="1" x14ac:dyDescent="0.25">
      <c r="A46" s="606" t="s">
        <v>1152</v>
      </c>
      <c r="B46" s="90"/>
      <c r="C46" s="744">
        <f>SC13EQ!B43</f>
        <v>0</v>
      </c>
      <c r="D46" s="744">
        <f>SC13EQ!C43</f>
        <v>0</v>
      </c>
      <c r="E46" s="331">
        <f>SC13EQ!D43</f>
        <v>0</v>
      </c>
      <c r="F46" s="704">
        <f>SC13EQ!E43</f>
        <v>0</v>
      </c>
      <c r="G46" s="331">
        <f>SC13EQ!F43</f>
        <v>0</v>
      </c>
      <c r="H46" s="704">
        <f>SC13EQ!G43</f>
        <v>0</v>
      </c>
      <c r="I46" s="34">
        <f t="shared" si="1"/>
        <v>0</v>
      </c>
      <c r="J46" s="572" t="str">
        <f t="shared" si="7"/>
        <v/>
      </c>
      <c r="K46" s="367">
        <f>SC13EQ!J43</f>
        <v>0</v>
      </c>
    </row>
    <row r="47" spans="1:11" ht="12.75" customHeight="1" x14ac:dyDescent="0.25">
      <c r="A47" s="606" t="s">
        <v>1153</v>
      </c>
      <c r="B47" s="90"/>
      <c r="C47" s="744">
        <f>SC13EQ!B44</f>
        <v>0</v>
      </c>
      <c r="D47" s="744">
        <f>SC13EQ!C44</f>
        <v>9586000</v>
      </c>
      <c r="E47" s="331">
        <f>SC13EQ!D44</f>
        <v>8886000</v>
      </c>
      <c r="F47" s="704">
        <f>SC13EQ!E44</f>
        <v>0</v>
      </c>
      <c r="G47" s="331">
        <f>SC13EQ!F44</f>
        <v>0</v>
      </c>
      <c r="H47" s="704">
        <f>SC13EQ!G44</f>
        <v>8186000</v>
      </c>
      <c r="I47" s="34">
        <f t="shared" si="1"/>
        <v>8186000</v>
      </c>
      <c r="J47" s="572">
        <f t="shared" si="7"/>
        <v>1</v>
      </c>
      <c r="K47" s="367">
        <f>SC13EQ!J44</f>
        <v>8886000</v>
      </c>
    </row>
    <row r="48" spans="1:11" ht="12.75" customHeight="1" x14ac:dyDescent="0.25">
      <c r="A48" s="606" t="s">
        <v>1154</v>
      </c>
      <c r="B48" s="90"/>
      <c r="C48" s="744">
        <f>SC13EQ!B45</f>
        <v>0</v>
      </c>
      <c r="D48" s="744">
        <f>SC13EQ!C45</f>
        <v>0</v>
      </c>
      <c r="E48" s="331">
        <f>SC13EQ!D45</f>
        <v>0</v>
      </c>
      <c r="F48" s="704">
        <f>SC13EQ!E45</f>
        <v>0</v>
      </c>
      <c r="G48" s="331">
        <f>SC13EQ!F45</f>
        <v>0</v>
      </c>
      <c r="H48" s="704">
        <f>SC13EQ!G45</f>
        <v>0</v>
      </c>
      <c r="I48" s="34">
        <f t="shared" si="1"/>
        <v>0</v>
      </c>
      <c r="J48" s="572" t="str">
        <f t="shared" si="7"/>
        <v/>
      </c>
      <c r="K48" s="367">
        <f>SC13EQ!J45</f>
        <v>0</v>
      </c>
    </row>
    <row r="49" spans="1:11" ht="12.75" customHeight="1" x14ac:dyDescent="0.25">
      <c r="A49" s="606" t="s">
        <v>1155</v>
      </c>
      <c r="B49" s="90"/>
      <c r="C49" s="744">
        <f>SC13EQ!B46</f>
        <v>0</v>
      </c>
      <c r="D49" s="744">
        <f>SC13EQ!C46</f>
        <v>0</v>
      </c>
      <c r="E49" s="331">
        <f>SC13EQ!D46</f>
        <v>0</v>
      </c>
      <c r="F49" s="704">
        <f>SC13EQ!E46</f>
        <v>0</v>
      </c>
      <c r="G49" s="331">
        <f>SC13EQ!F46</f>
        <v>0</v>
      </c>
      <c r="H49" s="704">
        <f>SC13EQ!G46</f>
        <v>0</v>
      </c>
      <c r="I49" s="34">
        <f t="shared" si="1"/>
        <v>0</v>
      </c>
      <c r="J49" s="572" t="str">
        <f t="shared" si="7"/>
        <v/>
      </c>
      <c r="K49" s="367">
        <f>SC13EQ!J46</f>
        <v>0</v>
      </c>
    </row>
    <row r="50" spans="1:11" ht="12.75" customHeight="1" x14ac:dyDescent="0.25">
      <c r="A50" s="606" t="s">
        <v>1156</v>
      </c>
      <c r="B50" s="90"/>
      <c r="C50" s="744">
        <f>SC13EQ!B47</f>
        <v>0</v>
      </c>
      <c r="D50" s="744">
        <f>SC13EQ!C47</f>
        <v>0</v>
      </c>
      <c r="E50" s="331">
        <f>SC13EQ!D47</f>
        <v>0</v>
      </c>
      <c r="F50" s="704">
        <f>SC13EQ!E47</f>
        <v>0</v>
      </c>
      <c r="G50" s="331">
        <f>SC13EQ!F47</f>
        <v>0</v>
      </c>
      <c r="H50" s="704">
        <f>SC13EQ!G47</f>
        <v>0</v>
      </c>
      <c r="I50" s="34">
        <f t="shared" si="1"/>
        <v>0</v>
      </c>
      <c r="J50" s="572" t="str">
        <f t="shared" si="7"/>
        <v/>
      </c>
      <c r="K50" s="367">
        <f>SC13EQ!J47</f>
        <v>0</v>
      </c>
    </row>
    <row r="51" spans="1:11" ht="12.75" customHeight="1" x14ac:dyDescent="0.25">
      <c r="A51" s="606" t="s">
        <v>1157</v>
      </c>
      <c r="B51" s="90"/>
      <c r="C51" s="744">
        <f>SC13EQ!B48</f>
        <v>0</v>
      </c>
      <c r="D51" s="744">
        <f>SC13EQ!C48</f>
        <v>0</v>
      </c>
      <c r="E51" s="331">
        <f>SC13EQ!D48</f>
        <v>0</v>
      </c>
      <c r="F51" s="704">
        <f>SC13EQ!E48</f>
        <v>0</v>
      </c>
      <c r="G51" s="331">
        <f>SC13EQ!F48</f>
        <v>0</v>
      </c>
      <c r="H51" s="704">
        <f>SC13EQ!G48</f>
        <v>0</v>
      </c>
      <c r="I51" s="34">
        <f t="shared" si="1"/>
        <v>0</v>
      </c>
      <c r="J51" s="572" t="str">
        <f t="shared" si="7"/>
        <v/>
      </c>
      <c r="K51" s="367">
        <f>SC13EQ!J48</f>
        <v>0</v>
      </c>
    </row>
    <row r="52" spans="1:11" ht="12.75" customHeight="1" x14ac:dyDescent="0.25">
      <c r="A52" s="606" t="s">
        <v>1122</v>
      </c>
      <c r="B52" s="90"/>
      <c r="C52" s="744">
        <f>SC13EQ!B49</f>
        <v>0</v>
      </c>
      <c r="D52" s="744">
        <f>SC13EQ!C49</f>
        <v>0</v>
      </c>
      <c r="E52" s="331">
        <f>SC13EQ!D49</f>
        <v>0</v>
      </c>
      <c r="F52" s="704">
        <f>SC13EQ!E49</f>
        <v>0</v>
      </c>
      <c r="G52" s="331">
        <f>SC13EQ!F49</f>
        <v>0</v>
      </c>
      <c r="H52" s="704">
        <f>SC13EQ!G49</f>
        <v>0</v>
      </c>
      <c r="I52" s="34">
        <f t="shared" si="1"/>
        <v>0</v>
      </c>
      <c r="J52" s="572" t="str">
        <f t="shared" si="7"/>
        <v/>
      </c>
      <c r="K52" s="367">
        <f>SC13EQ!J49</f>
        <v>0</v>
      </c>
    </row>
    <row r="53" spans="1:11" ht="12.75" customHeight="1" x14ac:dyDescent="0.25">
      <c r="A53" s="30" t="s">
        <v>1158</v>
      </c>
      <c r="B53" s="90"/>
      <c r="C53" s="74">
        <f t="shared" ref="C53:H53" si="10">SUM(C54:C62)</f>
        <v>0</v>
      </c>
      <c r="D53" s="489">
        <f t="shared" si="10"/>
        <v>0</v>
      </c>
      <c r="E53" s="34">
        <f t="shared" si="10"/>
        <v>0</v>
      </c>
      <c r="F53" s="33">
        <f t="shared" si="10"/>
        <v>0</v>
      </c>
      <c r="G53" s="34">
        <f t="shared" si="10"/>
        <v>0</v>
      </c>
      <c r="H53" s="33">
        <f t="shared" si="10"/>
        <v>0</v>
      </c>
      <c r="I53" s="34">
        <f t="shared" si="1"/>
        <v>0</v>
      </c>
      <c r="J53" s="572" t="str">
        <f t="shared" si="7"/>
        <v/>
      </c>
      <c r="K53" s="35">
        <f>SUM(K54:K62)</f>
        <v>0</v>
      </c>
    </row>
    <row r="54" spans="1:11" ht="12.75" customHeight="1" x14ac:dyDescent="0.25">
      <c r="A54" s="606" t="s">
        <v>1159</v>
      </c>
      <c r="B54" s="90"/>
      <c r="C54" s="744">
        <f>SC13EQ!B51</f>
        <v>0</v>
      </c>
      <c r="D54" s="744">
        <f>SC13EQ!C51</f>
        <v>0</v>
      </c>
      <c r="E54" s="331">
        <f>SC13EQ!D51</f>
        <v>0</v>
      </c>
      <c r="F54" s="704">
        <f>SC13EQ!E51</f>
        <v>0</v>
      </c>
      <c r="G54" s="331">
        <f>SC13EQ!F51</f>
        <v>0</v>
      </c>
      <c r="H54" s="704">
        <f>SC13EQ!G51</f>
        <v>0</v>
      </c>
      <c r="I54" s="34">
        <f t="shared" si="1"/>
        <v>0</v>
      </c>
      <c r="J54" s="572" t="str">
        <f t="shared" si="7"/>
        <v/>
      </c>
      <c r="K54" s="367">
        <f>SC13EQ!J51</f>
        <v>0</v>
      </c>
    </row>
    <row r="55" spans="1:11" ht="12.75" customHeight="1" x14ac:dyDescent="0.25">
      <c r="A55" s="606" t="s">
        <v>1160</v>
      </c>
      <c r="B55" s="90"/>
      <c r="C55" s="744">
        <f>SC13EQ!B52</f>
        <v>0</v>
      </c>
      <c r="D55" s="744">
        <f>SC13EQ!C52</f>
        <v>0</v>
      </c>
      <c r="E55" s="331">
        <f>SC13EQ!D52</f>
        <v>0</v>
      </c>
      <c r="F55" s="704">
        <f>SC13EQ!E52</f>
        <v>0</v>
      </c>
      <c r="G55" s="331">
        <f>SC13EQ!F52</f>
        <v>0</v>
      </c>
      <c r="H55" s="704">
        <f>SC13EQ!G52</f>
        <v>0</v>
      </c>
      <c r="I55" s="34">
        <f t="shared" si="1"/>
        <v>0</v>
      </c>
      <c r="J55" s="572" t="str">
        <f t="shared" si="7"/>
        <v/>
      </c>
      <c r="K55" s="367">
        <f>SC13EQ!J52</f>
        <v>0</v>
      </c>
    </row>
    <row r="56" spans="1:11" ht="12.75" customHeight="1" x14ac:dyDescent="0.25">
      <c r="A56" s="606" t="s">
        <v>1161</v>
      </c>
      <c r="B56" s="90"/>
      <c r="C56" s="744">
        <f>SC13EQ!B53</f>
        <v>0</v>
      </c>
      <c r="D56" s="744">
        <f>SC13EQ!C53</f>
        <v>0</v>
      </c>
      <c r="E56" s="331">
        <f>SC13EQ!D53</f>
        <v>0</v>
      </c>
      <c r="F56" s="704">
        <f>SC13EQ!E53</f>
        <v>0</v>
      </c>
      <c r="G56" s="331">
        <f>SC13EQ!F53</f>
        <v>0</v>
      </c>
      <c r="H56" s="704">
        <f>SC13EQ!G53</f>
        <v>0</v>
      </c>
      <c r="I56" s="34">
        <f t="shared" si="1"/>
        <v>0</v>
      </c>
      <c r="J56" s="572" t="str">
        <f t="shared" si="7"/>
        <v/>
      </c>
      <c r="K56" s="367">
        <f>SC13EQ!J53</f>
        <v>0</v>
      </c>
    </row>
    <row r="57" spans="1:11" ht="12.75" customHeight="1" x14ac:dyDescent="0.25">
      <c r="A57" s="606" t="s">
        <v>1124</v>
      </c>
      <c r="B57" s="90"/>
      <c r="C57" s="744">
        <f>SC13EQ!B54</f>
        <v>0</v>
      </c>
      <c r="D57" s="744">
        <f>SC13EQ!C54</f>
        <v>0</v>
      </c>
      <c r="E57" s="331">
        <f>SC13EQ!D54</f>
        <v>0</v>
      </c>
      <c r="F57" s="704">
        <f>SC13EQ!E54</f>
        <v>0</v>
      </c>
      <c r="G57" s="331">
        <f>SC13EQ!F54</f>
        <v>0</v>
      </c>
      <c r="H57" s="704">
        <f>SC13EQ!G54</f>
        <v>0</v>
      </c>
      <c r="I57" s="34">
        <f t="shared" si="1"/>
        <v>0</v>
      </c>
      <c r="J57" s="572" t="str">
        <f t="shared" si="7"/>
        <v/>
      </c>
      <c r="K57" s="367">
        <f>SC13EQ!J54</f>
        <v>0</v>
      </c>
    </row>
    <row r="58" spans="1:11" ht="12.75" customHeight="1" x14ac:dyDescent="0.25">
      <c r="A58" s="606" t="s">
        <v>1125</v>
      </c>
      <c r="B58" s="90"/>
      <c r="C58" s="744">
        <f>SC13EQ!B55</f>
        <v>0</v>
      </c>
      <c r="D58" s="744">
        <f>SC13EQ!C55</f>
        <v>0</v>
      </c>
      <c r="E58" s="331">
        <f>SC13EQ!D55</f>
        <v>0</v>
      </c>
      <c r="F58" s="704">
        <f>SC13EQ!E55</f>
        <v>0</v>
      </c>
      <c r="G58" s="331">
        <f>SC13EQ!F55</f>
        <v>0</v>
      </c>
      <c r="H58" s="704">
        <f>SC13EQ!G55</f>
        <v>0</v>
      </c>
      <c r="I58" s="34">
        <f t="shared" si="1"/>
        <v>0</v>
      </c>
      <c r="J58" s="572" t="str">
        <f t="shared" si="7"/>
        <v/>
      </c>
      <c r="K58" s="367">
        <f>SC13EQ!J55</f>
        <v>0</v>
      </c>
    </row>
    <row r="59" spans="1:11" ht="12.75" customHeight="1" x14ac:dyDescent="0.25">
      <c r="A59" s="606" t="s">
        <v>1126</v>
      </c>
      <c r="B59" s="90"/>
      <c r="C59" s="744">
        <f>SC13EQ!B56</f>
        <v>0</v>
      </c>
      <c r="D59" s="744">
        <f>SC13EQ!C56</f>
        <v>0</v>
      </c>
      <c r="E59" s="331">
        <f>SC13EQ!D56</f>
        <v>0</v>
      </c>
      <c r="F59" s="704">
        <f>SC13EQ!E56</f>
        <v>0</v>
      </c>
      <c r="G59" s="331">
        <f>SC13EQ!F56</f>
        <v>0</v>
      </c>
      <c r="H59" s="704">
        <f>SC13EQ!G56</f>
        <v>0</v>
      </c>
      <c r="I59" s="34">
        <f t="shared" si="1"/>
        <v>0</v>
      </c>
      <c r="J59" s="572" t="str">
        <f t="shared" si="7"/>
        <v/>
      </c>
      <c r="K59" s="367">
        <f>SC13EQ!J56</f>
        <v>0</v>
      </c>
    </row>
    <row r="60" spans="1:11" ht="12.75" customHeight="1" x14ac:dyDescent="0.25">
      <c r="A60" s="606" t="s">
        <v>1132</v>
      </c>
      <c r="B60" s="90"/>
      <c r="C60" s="744">
        <f>SC13EQ!B57</f>
        <v>0</v>
      </c>
      <c r="D60" s="744">
        <f>SC13EQ!C57</f>
        <v>0</v>
      </c>
      <c r="E60" s="331">
        <f>SC13EQ!D57</f>
        <v>0</v>
      </c>
      <c r="F60" s="704">
        <f>SC13EQ!E57</f>
        <v>0</v>
      </c>
      <c r="G60" s="331">
        <f>SC13EQ!F57</f>
        <v>0</v>
      </c>
      <c r="H60" s="704">
        <f>SC13EQ!G57</f>
        <v>0</v>
      </c>
      <c r="I60" s="34">
        <f t="shared" si="1"/>
        <v>0</v>
      </c>
      <c r="J60" s="572" t="str">
        <f t="shared" si="7"/>
        <v/>
      </c>
      <c r="K60" s="367">
        <f>SC13EQ!J57</f>
        <v>0</v>
      </c>
    </row>
    <row r="61" spans="1:11" ht="12.75" customHeight="1" x14ac:dyDescent="0.25">
      <c r="A61" s="606" t="s">
        <v>1135</v>
      </c>
      <c r="B61" s="90"/>
      <c r="C61" s="744">
        <f>SC13EQ!B58</f>
        <v>0</v>
      </c>
      <c r="D61" s="744">
        <f>SC13EQ!C58</f>
        <v>0</v>
      </c>
      <c r="E61" s="331">
        <f>SC13EQ!D58</f>
        <v>0</v>
      </c>
      <c r="F61" s="704">
        <f>SC13EQ!E58</f>
        <v>0</v>
      </c>
      <c r="G61" s="331">
        <f>SC13EQ!F58</f>
        <v>0</v>
      </c>
      <c r="H61" s="704">
        <f>SC13EQ!G58</f>
        <v>0</v>
      </c>
      <c r="I61" s="34">
        <f t="shared" si="1"/>
        <v>0</v>
      </c>
      <c r="J61" s="572" t="str">
        <f t="shared" si="7"/>
        <v/>
      </c>
      <c r="K61" s="367">
        <f>SC13EQ!J58</f>
        <v>0</v>
      </c>
    </row>
    <row r="62" spans="1:11" ht="12.75" customHeight="1" x14ac:dyDescent="0.25">
      <c r="A62" s="606" t="s">
        <v>1122</v>
      </c>
      <c r="B62" s="90"/>
      <c r="C62" s="744">
        <f>SC13EQ!B59</f>
        <v>0</v>
      </c>
      <c r="D62" s="744">
        <f>SC13EQ!C59</f>
        <v>0</v>
      </c>
      <c r="E62" s="331">
        <f>SC13EQ!D59</f>
        <v>0</v>
      </c>
      <c r="F62" s="704">
        <f>SC13EQ!E59</f>
        <v>0</v>
      </c>
      <c r="G62" s="331">
        <f>SC13EQ!F59</f>
        <v>0</v>
      </c>
      <c r="H62" s="704">
        <f>SC13EQ!G59</f>
        <v>0</v>
      </c>
      <c r="I62" s="34">
        <f t="shared" si="1"/>
        <v>0</v>
      </c>
      <c r="J62" s="572" t="str">
        <f t="shared" si="7"/>
        <v/>
      </c>
      <c r="K62" s="367">
        <f>SC13EQ!J59</f>
        <v>0</v>
      </c>
    </row>
    <row r="63" spans="1:11" ht="12.75" customHeight="1" x14ac:dyDescent="0.25">
      <c r="A63" s="30" t="s">
        <v>1162</v>
      </c>
      <c r="B63" s="90"/>
      <c r="C63" s="74">
        <f t="shared" ref="C63:H63" si="11">SUM(C64:C68)</f>
        <v>0</v>
      </c>
      <c r="D63" s="489">
        <f t="shared" si="11"/>
        <v>0</v>
      </c>
      <c r="E63" s="34">
        <f t="shared" si="11"/>
        <v>0</v>
      </c>
      <c r="F63" s="33">
        <f t="shared" si="11"/>
        <v>0</v>
      </c>
      <c r="G63" s="34">
        <f t="shared" si="11"/>
        <v>0</v>
      </c>
      <c r="H63" s="33">
        <f t="shared" si="11"/>
        <v>0</v>
      </c>
      <c r="I63" s="34">
        <f t="shared" si="1"/>
        <v>0</v>
      </c>
      <c r="J63" s="572" t="str">
        <f t="shared" si="7"/>
        <v/>
      </c>
      <c r="K63" s="35">
        <f>SUM(K64:K68)</f>
        <v>0</v>
      </c>
    </row>
    <row r="64" spans="1:11" ht="12.75" customHeight="1" x14ac:dyDescent="0.25">
      <c r="A64" s="606" t="s">
        <v>1163</v>
      </c>
      <c r="B64" s="90"/>
      <c r="C64" s="744">
        <f>SC13EQ!B61</f>
        <v>0</v>
      </c>
      <c r="D64" s="744">
        <f>SC13EQ!C61</f>
        <v>0</v>
      </c>
      <c r="E64" s="331">
        <f>SC13EQ!D61</f>
        <v>0</v>
      </c>
      <c r="F64" s="704">
        <f>SC13EQ!E61</f>
        <v>0</v>
      </c>
      <c r="G64" s="331">
        <f>SC13EQ!F61</f>
        <v>0</v>
      </c>
      <c r="H64" s="704">
        <f>SC13EQ!G61</f>
        <v>0</v>
      </c>
      <c r="I64" s="34">
        <f t="shared" si="1"/>
        <v>0</v>
      </c>
      <c r="J64" s="572" t="str">
        <f t="shared" si="7"/>
        <v/>
      </c>
      <c r="K64" s="367">
        <f>SC13EQ!J61</f>
        <v>0</v>
      </c>
    </row>
    <row r="65" spans="1:11" ht="12.75" customHeight="1" x14ac:dyDescent="0.25">
      <c r="A65" s="606" t="s">
        <v>1164</v>
      </c>
      <c r="B65" s="90"/>
      <c r="C65" s="744">
        <f>SC13EQ!B62</f>
        <v>0</v>
      </c>
      <c r="D65" s="744">
        <f>SC13EQ!C62</f>
        <v>0</v>
      </c>
      <c r="E65" s="331">
        <f>SC13EQ!D62</f>
        <v>0</v>
      </c>
      <c r="F65" s="704">
        <f>SC13EQ!E62</f>
        <v>0</v>
      </c>
      <c r="G65" s="331">
        <f>SC13EQ!F62</f>
        <v>0</v>
      </c>
      <c r="H65" s="704">
        <f>SC13EQ!G62</f>
        <v>0</v>
      </c>
      <c r="I65" s="34">
        <f t="shared" si="1"/>
        <v>0</v>
      </c>
      <c r="J65" s="572" t="str">
        <f t="shared" si="7"/>
        <v/>
      </c>
      <c r="K65" s="367">
        <f>SC13EQ!J62</f>
        <v>0</v>
      </c>
    </row>
    <row r="66" spans="1:11" ht="12.75" customHeight="1" x14ac:dyDescent="0.25">
      <c r="A66" s="606" t="s">
        <v>1165</v>
      </c>
      <c r="B66" s="90"/>
      <c r="C66" s="744">
        <f>SC13EQ!B63</f>
        <v>0</v>
      </c>
      <c r="D66" s="744">
        <f>SC13EQ!C63</f>
        <v>0</v>
      </c>
      <c r="E66" s="331">
        <f>SC13EQ!D63</f>
        <v>0</v>
      </c>
      <c r="F66" s="704">
        <f>SC13EQ!E63</f>
        <v>0</v>
      </c>
      <c r="G66" s="331">
        <f>SC13EQ!F63</f>
        <v>0</v>
      </c>
      <c r="H66" s="704">
        <f>SC13EQ!G63</f>
        <v>0</v>
      </c>
      <c r="I66" s="34">
        <f t="shared" si="1"/>
        <v>0</v>
      </c>
      <c r="J66" s="572" t="str">
        <f t="shared" si="7"/>
        <v/>
      </c>
      <c r="K66" s="367">
        <f>SC13EQ!J63</f>
        <v>0</v>
      </c>
    </row>
    <row r="67" spans="1:11" ht="12.75" customHeight="1" x14ac:dyDescent="0.25">
      <c r="A67" s="606" t="s">
        <v>1166</v>
      </c>
      <c r="B67" s="90"/>
      <c r="C67" s="744">
        <f>SC13EQ!B64</f>
        <v>0</v>
      </c>
      <c r="D67" s="744">
        <f>SC13EQ!C64</f>
        <v>0</v>
      </c>
      <c r="E67" s="331">
        <f>SC13EQ!D64</f>
        <v>0</v>
      </c>
      <c r="F67" s="704">
        <f>SC13EQ!E64</f>
        <v>0</v>
      </c>
      <c r="G67" s="331">
        <f>SC13EQ!F64</f>
        <v>0</v>
      </c>
      <c r="H67" s="704">
        <f>SC13EQ!G64</f>
        <v>0</v>
      </c>
      <c r="I67" s="34">
        <f t="shared" si="1"/>
        <v>0</v>
      </c>
      <c r="J67" s="572" t="str">
        <f t="shared" si="7"/>
        <v/>
      </c>
      <c r="K67" s="367">
        <f>SC13EQ!J64</f>
        <v>0</v>
      </c>
    </row>
    <row r="68" spans="1:11" ht="12.75" customHeight="1" x14ac:dyDescent="0.25">
      <c r="A68" s="606" t="s">
        <v>1122</v>
      </c>
      <c r="B68" s="90"/>
      <c r="C68" s="744">
        <f>SC13EQ!B65</f>
        <v>0</v>
      </c>
      <c r="D68" s="744">
        <f>SC13EQ!C65</f>
        <v>0</v>
      </c>
      <c r="E68" s="331">
        <f>SC13EQ!D65</f>
        <v>0</v>
      </c>
      <c r="F68" s="704">
        <f>SC13EQ!E65</f>
        <v>0</v>
      </c>
      <c r="G68" s="331">
        <f>SC13EQ!F65</f>
        <v>0</v>
      </c>
      <c r="H68" s="704">
        <f>SC13EQ!G65</f>
        <v>0</v>
      </c>
      <c r="I68" s="34">
        <f t="shared" si="1"/>
        <v>0</v>
      </c>
      <c r="J68" s="572" t="str">
        <f t="shared" ref="J68:J98" si="12">IF(H68=0,"",I68/H68)</f>
        <v/>
      </c>
      <c r="K68" s="367">
        <f>SC13EQ!J65</f>
        <v>0</v>
      </c>
    </row>
    <row r="69" spans="1:11" ht="12.75" customHeight="1" x14ac:dyDescent="0.25">
      <c r="A69" s="30" t="s">
        <v>1167</v>
      </c>
      <c r="B69" s="90"/>
      <c r="C69" s="74">
        <f t="shared" ref="C69:H69" si="13">SUM(C70:C73)</f>
        <v>2013033.77</v>
      </c>
      <c r="D69" s="489">
        <f t="shared" si="13"/>
        <v>4500000</v>
      </c>
      <c r="E69" s="34">
        <f t="shared" si="13"/>
        <v>4620000</v>
      </c>
      <c r="F69" s="33">
        <f t="shared" si="13"/>
        <v>-0.98</v>
      </c>
      <c r="G69" s="34">
        <f t="shared" si="13"/>
        <v>10696791.859999999</v>
      </c>
      <c r="H69" s="33">
        <f t="shared" si="13"/>
        <v>4620000</v>
      </c>
      <c r="I69" s="34">
        <f t="shared" si="1"/>
        <v>-6076791.8599999994</v>
      </c>
      <c r="J69" s="572">
        <f t="shared" si="12"/>
        <v>-1.3153229134199134</v>
      </c>
      <c r="K69" s="35">
        <f>SUM(K70:K73)</f>
        <v>4620000</v>
      </c>
    </row>
    <row r="70" spans="1:11" ht="12.75" customHeight="1" x14ac:dyDescent="0.25">
      <c r="A70" s="606" t="s">
        <v>1168</v>
      </c>
      <c r="B70" s="90"/>
      <c r="C70" s="744">
        <f>SC13EQ!B67</f>
        <v>2013033.77</v>
      </c>
      <c r="D70" s="744">
        <f>SC13EQ!C67</f>
        <v>4500000</v>
      </c>
      <c r="E70" s="331">
        <f>SC13EQ!D67</f>
        <v>4620000</v>
      </c>
      <c r="F70" s="704">
        <f>SC13EQ!E67</f>
        <v>-0.98</v>
      </c>
      <c r="G70" s="331">
        <f>SC13EQ!F67</f>
        <v>10696791.859999999</v>
      </c>
      <c r="H70" s="704">
        <f>SC13EQ!G67</f>
        <v>4620000</v>
      </c>
      <c r="I70" s="34">
        <f t="shared" si="1"/>
        <v>-6076791.8599999994</v>
      </c>
      <c r="J70" s="572">
        <f t="shared" si="12"/>
        <v>-1.3153229134199134</v>
      </c>
      <c r="K70" s="367">
        <f>SC13EQ!J67</f>
        <v>4620000</v>
      </c>
    </row>
    <row r="71" spans="1:11" ht="12.75" customHeight="1" x14ac:dyDescent="0.25">
      <c r="A71" s="606" t="s">
        <v>1169</v>
      </c>
      <c r="B71" s="90"/>
      <c r="C71" s="744">
        <f>SC13EQ!B68</f>
        <v>0</v>
      </c>
      <c r="D71" s="744">
        <f>SC13EQ!C68</f>
        <v>0</v>
      </c>
      <c r="E71" s="331">
        <f>SC13EQ!D68</f>
        <v>0</v>
      </c>
      <c r="F71" s="704">
        <f>SC13EQ!E68</f>
        <v>0</v>
      </c>
      <c r="G71" s="331">
        <f>SC13EQ!F68</f>
        <v>0</v>
      </c>
      <c r="H71" s="704">
        <f>SC13EQ!G68</f>
        <v>0</v>
      </c>
      <c r="I71" s="34">
        <f t="shared" si="1"/>
        <v>0</v>
      </c>
      <c r="J71" s="572" t="str">
        <f t="shared" si="12"/>
        <v/>
      </c>
      <c r="K71" s="367">
        <f>SC13EQ!J68</f>
        <v>0</v>
      </c>
    </row>
    <row r="72" spans="1:11" ht="12.75" customHeight="1" x14ac:dyDescent="0.25">
      <c r="A72" s="606" t="s">
        <v>1170</v>
      </c>
      <c r="B72" s="90"/>
      <c r="C72" s="744">
        <f>SC13EQ!B69</f>
        <v>0</v>
      </c>
      <c r="D72" s="744">
        <f>SC13EQ!C69</f>
        <v>0</v>
      </c>
      <c r="E72" s="331">
        <f>SC13EQ!D69</f>
        <v>0</v>
      </c>
      <c r="F72" s="704">
        <f>SC13EQ!E69</f>
        <v>0</v>
      </c>
      <c r="G72" s="331">
        <f>SC13EQ!F69</f>
        <v>0</v>
      </c>
      <c r="H72" s="704">
        <f>SC13EQ!G69</f>
        <v>0</v>
      </c>
      <c r="I72" s="34">
        <f t="shared" si="1"/>
        <v>0</v>
      </c>
      <c r="J72" s="572" t="str">
        <f t="shared" si="12"/>
        <v/>
      </c>
      <c r="K72" s="367">
        <f>SC13EQ!J69</f>
        <v>0</v>
      </c>
    </row>
    <row r="73" spans="1:11" ht="12.75" customHeight="1" x14ac:dyDescent="0.25">
      <c r="A73" s="606" t="s">
        <v>1122</v>
      </c>
      <c r="B73" s="90"/>
      <c r="C73" s="744">
        <f>SC13EQ!B70</f>
        <v>0</v>
      </c>
      <c r="D73" s="744">
        <f>SC13EQ!C70</f>
        <v>0</v>
      </c>
      <c r="E73" s="331">
        <f>SC13EQ!D70</f>
        <v>0</v>
      </c>
      <c r="F73" s="704">
        <f>SC13EQ!E70</f>
        <v>0</v>
      </c>
      <c r="G73" s="331">
        <f>SC13EQ!F70</f>
        <v>0</v>
      </c>
      <c r="H73" s="704">
        <f>SC13EQ!G70</f>
        <v>0</v>
      </c>
      <c r="I73" s="34">
        <f t="shared" si="1"/>
        <v>0</v>
      </c>
      <c r="J73" s="572" t="str">
        <f t="shared" si="12"/>
        <v/>
      </c>
      <c r="K73" s="367">
        <f>SC13EQ!J70</f>
        <v>0</v>
      </c>
    </row>
    <row r="74" spans="1:11" ht="5.25" customHeight="1" x14ac:dyDescent="0.25">
      <c r="A74" s="606"/>
      <c r="B74" s="90"/>
      <c r="C74" s="74"/>
      <c r="D74" s="489"/>
      <c r="E74" s="34"/>
      <c r="F74" s="33"/>
      <c r="G74" s="34"/>
      <c r="H74" s="33"/>
      <c r="I74" s="34">
        <f t="shared" si="1"/>
        <v>0</v>
      </c>
      <c r="J74" s="572" t="str">
        <f t="shared" si="12"/>
        <v/>
      </c>
      <c r="K74" s="35"/>
    </row>
    <row r="75" spans="1:11" ht="12.75" customHeight="1" x14ac:dyDescent="0.25">
      <c r="A75" s="29" t="s">
        <v>1191</v>
      </c>
      <c r="B75" s="90"/>
      <c r="C75" s="220">
        <f t="shared" ref="C75:H75" si="14">+C76+C99</f>
        <v>36731080.159999996</v>
      </c>
      <c r="D75" s="737">
        <f t="shared" si="14"/>
        <v>21451000</v>
      </c>
      <c r="E75" s="221">
        <f t="shared" si="14"/>
        <v>22151000</v>
      </c>
      <c r="F75" s="737">
        <f t="shared" si="14"/>
        <v>199609</v>
      </c>
      <c r="G75" s="221">
        <f t="shared" si="14"/>
        <v>12276355.049999999</v>
      </c>
      <c r="H75" s="737">
        <f t="shared" si="14"/>
        <v>23458632.829999998</v>
      </c>
      <c r="I75" s="34">
        <f t="shared" si="1"/>
        <v>11182277.779999999</v>
      </c>
      <c r="J75" s="572">
        <f t="shared" si="12"/>
        <v>0.47668071114952526</v>
      </c>
      <c r="K75" s="734">
        <f>+K76+K99</f>
        <v>22151000</v>
      </c>
    </row>
    <row r="76" spans="1:11" ht="12.75" customHeight="1" x14ac:dyDescent="0.25">
      <c r="A76" s="30" t="s">
        <v>1171</v>
      </c>
      <c r="B76" s="90"/>
      <c r="C76" s="74">
        <f t="shared" ref="C76:H76" si="15">SUM(C77:C98)</f>
        <v>13911078.449999999</v>
      </c>
      <c r="D76" s="489">
        <f t="shared" si="15"/>
        <v>19201000</v>
      </c>
      <c r="E76" s="34">
        <f t="shared" si="15"/>
        <v>19901000</v>
      </c>
      <c r="F76" s="33">
        <f t="shared" si="15"/>
        <v>199609</v>
      </c>
      <c r="G76" s="34">
        <f t="shared" si="15"/>
        <v>11419475.779999999</v>
      </c>
      <c r="H76" s="33">
        <f t="shared" si="15"/>
        <v>21401753.559999999</v>
      </c>
      <c r="I76" s="34">
        <f t="shared" si="1"/>
        <v>9982277.7799999993</v>
      </c>
      <c r="J76" s="572">
        <f t="shared" si="12"/>
        <v>0.46642335881565022</v>
      </c>
      <c r="K76" s="35">
        <f>SUM(K77:K98)</f>
        <v>19901000</v>
      </c>
    </row>
    <row r="77" spans="1:11" ht="12.75" customHeight="1" x14ac:dyDescent="0.25">
      <c r="A77" s="606" t="s">
        <v>1172</v>
      </c>
      <c r="B77" s="90"/>
      <c r="C77" s="744">
        <f>SC13EQ!B73</f>
        <v>4536230.8899999997</v>
      </c>
      <c r="D77" s="744">
        <f>SC13EQ!C73</f>
        <v>4201000</v>
      </c>
      <c r="E77" s="331">
        <f>SC13EQ!D73</f>
        <v>4201000</v>
      </c>
      <c r="F77" s="704">
        <f>SC13EQ!E73</f>
        <v>0</v>
      </c>
      <c r="G77" s="331">
        <f>SC13EQ!F73</f>
        <v>-382188.75</v>
      </c>
      <c r="H77" s="704">
        <f>SC13EQ!G73</f>
        <v>2150000</v>
      </c>
      <c r="I77" s="34">
        <f t="shared" si="1"/>
        <v>2532188.75</v>
      </c>
      <c r="J77" s="572">
        <f t="shared" si="12"/>
        <v>1.1777622093023257</v>
      </c>
      <c r="K77" s="367">
        <f>SC13EQ!J73</f>
        <v>4201000</v>
      </c>
    </row>
    <row r="78" spans="1:11" ht="12.75" customHeight="1" x14ac:dyDescent="0.25">
      <c r="A78" s="606" t="s">
        <v>1173</v>
      </c>
      <c r="B78" s="90"/>
      <c r="C78" s="744">
        <f>SC13EQ!B74</f>
        <v>0</v>
      </c>
      <c r="D78" s="744">
        <f>SC13EQ!C74</f>
        <v>0</v>
      </c>
      <c r="E78" s="331">
        <f>SC13EQ!D74</f>
        <v>0</v>
      </c>
      <c r="F78" s="704">
        <f>SC13EQ!E74</f>
        <v>0</v>
      </c>
      <c r="G78" s="331">
        <f>SC13EQ!F74</f>
        <v>0</v>
      </c>
      <c r="H78" s="704">
        <f>SC13EQ!G74</f>
        <v>0</v>
      </c>
      <c r="I78" s="34">
        <f t="shared" si="1"/>
        <v>0</v>
      </c>
      <c r="J78" s="572" t="str">
        <f t="shared" si="12"/>
        <v/>
      </c>
      <c r="K78" s="367">
        <f>SC13EQ!J74</f>
        <v>0</v>
      </c>
    </row>
    <row r="79" spans="1:11" ht="12.75" customHeight="1" x14ac:dyDescent="0.25">
      <c r="A79" s="606" t="s">
        <v>1174</v>
      </c>
      <c r="B79" s="90"/>
      <c r="C79" s="744">
        <f>SC13EQ!B75</f>
        <v>0</v>
      </c>
      <c r="D79" s="744">
        <f>SC13EQ!C75</f>
        <v>0</v>
      </c>
      <c r="E79" s="331">
        <f>SC13EQ!D75</f>
        <v>0</v>
      </c>
      <c r="F79" s="704">
        <f>SC13EQ!E75</f>
        <v>0</v>
      </c>
      <c r="G79" s="331">
        <f>SC13EQ!F75</f>
        <v>0</v>
      </c>
      <c r="H79" s="704">
        <f>SC13EQ!G75</f>
        <v>0</v>
      </c>
      <c r="I79" s="34">
        <f t="shared" si="1"/>
        <v>0</v>
      </c>
      <c r="J79" s="572" t="str">
        <f t="shared" si="12"/>
        <v/>
      </c>
      <c r="K79" s="367">
        <f>SC13EQ!J75</f>
        <v>0</v>
      </c>
    </row>
    <row r="80" spans="1:11" ht="12.75" customHeight="1" x14ac:dyDescent="0.25">
      <c r="A80" s="606" t="s">
        <v>1175</v>
      </c>
      <c r="B80" s="90"/>
      <c r="C80" s="744">
        <f>SC13EQ!B76</f>
        <v>0</v>
      </c>
      <c r="D80" s="744">
        <f>SC13EQ!C76</f>
        <v>0</v>
      </c>
      <c r="E80" s="331">
        <f>SC13EQ!D76</f>
        <v>0</v>
      </c>
      <c r="F80" s="704">
        <f>SC13EQ!E76</f>
        <v>0</v>
      </c>
      <c r="G80" s="331">
        <f>SC13EQ!F76</f>
        <v>0</v>
      </c>
      <c r="H80" s="704">
        <f>SC13EQ!G76</f>
        <v>0</v>
      </c>
      <c r="I80" s="34">
        <f t="shared" si="1"/>
        <v>0</v>
      </c>
      <c r="J80" s="572" t="str">
        <f t="shared" si="12"/>
        <v/>
      </c>
      <c r="K80" s="367">
        <f>SC13EQ!J76</f>
        <v>0</v>
      </c>
    </row>
    <row r="81" spans="1:11" ht="12.75" customHeight="1" x14ac:dyDescent="0.25">
      <c r="A81" s="606" t="s">
        <v>1176</v>
      </c>
      <c r="B81" s="90"/>
      <c r="C81" s="744">
        <f>SC13EQ!B77</f>
        <v>0</v>
      </c>
      <c r="D81" s="744">
        <f>SC13EQ!C77</f>
        <v>0</v>
      </c>
      <c r="E81" s="331">
        <f>SC13EQ!D77</f>
        <v>0</v>
      </c>
      <c r="F81" s="704">
        <f>SC13EQ!E77</f>
        <v>0</v>
      </c>
      <c r="G81" s="331">
        <f>SC13EQ!F77</f>
        <v>0</v>
      </c>
      <c r="H81" s="704">
        <f>SC13EQ!G77</f>
        <v>0</v>
      </c>
      <c r="I81" s="34">
        <f t="shared" si="1"/>
        <v>0</v>
      </c>
      <c r="J81" s="572" t="str">
        <f t="shared" si="12"/>
        <v/>
      </c>
      <c r="K81" s="367">
        <f>SC13EQ!J77</f>
        <v>0</v>
      </c>
    </row>
    <row r="82" spans="1:11" ht="12.75" customHeight="1" x14ac:dyDescent="0.25">
      <c r="A82" s="606" t="s">
        <v>1177</v>
      </c>
      <c r="B82" s="90"/>
      <c r="C82" s="744">
        <f>SC13EQ!B78</f>
        <v>0</v>
      </c>
      <c r="D82" s="744">
        <f>SC13EQ!C78</f>
        <v>0</v>
      </c>
      <c r="E82" s="331">
        <f>SC13EQ!D78</f>
        <v>0</v>
      </c>
      <c r="F82" s="704">
        <f>SC13EQ!E78</f>
        <v>0</v>
      </c>
      <c r="G82" s="331">
        <f>SC13EQ!F78</f>
        <v>0</v>
      </c>
      <c r="H82" s="704">
        <f>SC13EQ!G78</f>
        <v>0</v>
      </c>
      <c r="I82" s="34">
        <f t="shared" si="1"/>
        <v>0</v>
      </c>
      <c r="J82" s="572" t="str">
        <f t="shared" si="12"/>
        <v/>
      </c>
      <c r="K82" s="367">
        <f>SC13EQ!J78</f>
        <v>0</v>
      </c>
    </row>
    <row r="83" spans="1:11" ht="12.75" customHeight="1" x14ac:dyDescent="0.25">
      <c r="A83" s="606" t="s">
        <v>1178</v>
      </c>
      <c r="B83" s="90"/>
      <c r="C83" s="744">
        <f>SC13EQ!B79</f>
        <v>0</v>
      </c>
      <c r="D83" s="744">
        <f>SC13EQ!C79</f>
        <v>0</v>
      </c>
      <c r="E83" s="331">
        <f>SC13EQ!D79</f>
        <v>0</v>
      </c>
      <c r="F83" s="704">
        <f>SC13EQ!E79</f>
        <v>0</v>
      </c>
      <c r="G83" s="331">
        <f>SC13EQ!F79</f>
        <v>0</v>
      </c>
      <c r="H83" s="704">
        <f>SC13EQ!G79</f>
        <v>0</v>
      </c>
      <c r="I83" s="34">
        <f t="shared" si="1"/>
        <v>0</v>
      </c>
      <c r="J83" s="572" t="str">
        <f t="shared" si="12"/>
        <v/>
      </c>
      <c r="K83" s="367">
        <f>SC13EQ!J79</f>
        <v>0</v>
      </c>
    </row>
    <row r="84" spans="1:11" ht="12.75" customHeight="1" x14ac:dyDescent="0.25">
      <c r="A84" s="606" t="s">
        <v>1179</v>
      </c>
      <c r="B84" s="90"/>
      <c r="C84" s="744">
        <f>SC13EQ!B80</f>
        <v>0</v>
      </c>
      <c r="D84" s="744">
        <f>SC13EQ!C80</f>
        <v>0</v>
      </c>
      <c r="E84" s="331">
        <f>SC13EQ!D80</f>
        <v>0</v>
      </c>
      <c r="F84" s="704">
        <f>SC13EQ!E80</f>
        <v>0</v>
      </c>
      <c r="G84" s="331">
        <f>SC13EQ!F80</f>
        <v>0</v>
      </c>
      <c r="H84" s="704">
        <f>SC13EQ!G80</f>
        <v>0</v>
      </c>
      <c r="I84" s="34">
        <f t="shared" si="1"/>
        <v>0</v>
      </c>
      <c r="J84" s="572" t="str">
        <f t="shared" si="12"/>
        <v/>
      </c>
      <c r="K84" s="367">
        <f>SC13EQ!J80</f>
        <v>0</v>
      </c>
    </row>
    <row r="85" spans="1:11" ht="12.75" customHeight="1" x14ac:dyDescent="0.25">
      <c r="A85" s="606" t="s">
        <v>1055</v>
      </c>
      <c r="B85" s="90"/>
      <c r="C85" s="744">
        <f>SC13EQ!B81</f>
        <v>0</v>
      </c>
      <c r="D85" s="744">
        <f>SC13EQ!C81</f>
        <v>0</v>
      </c>
      <c r="E85" s="331">
        <f>SC13EQ!D81</f>
        <v>0</v>
      </c>
      <c r="F85" s="704">
        <f>SC13EQ!E81</f>
        <v>0</v>
      </c>
      <c r="G85" s="331">
        <f>SC13EQ!F81</f>
        <v>0</v>
      </c>
      <c r="H85" s="704">
        <f>SC13EQ!G81</f>
        <v>0</v>
      </c>
      <c r="I85" s="34">
        <f t="shared" si="1"/>
        <v>0</v>
      </c>
      <c r="J85" s="572" t="str">
        <f t="shared" si="12"/>
        <v/>
      </c>
      <c r="K85" s="367">
        <f>SC13EQ!J81</f>
        <v>0</v>
      </c>
    </row>
    <row r="86" spans="1:11" ht="12.75" customHeight="1" x14ac:dyDescent="0.25">
      <c r="A86" s="606" t="s">
        <v>508</v>
      </c>
      <c r="B86" s="90"/>
      <c r="C86" s="744">
        <f>SC13EQ!B82</f>
        <v>0</v>
      </c>
      <c r="D86" s="744">
        <f>SC13EQ!C82</f>
        <v>0</v>
      </c>
      <c r="E86" s="331">
        <f>SC13EQ!D82</f>
        <v>0</v>
      </c>
      <c r="F86" s="704">
        <f>SC13EQ!E82</f>
        <v>0</v>
      </c>
      <c r="G86" s="331">
        <f>SC13EQ!F82</f>
        <v>0</v>
      </c>
      <c r="H86" s="704">
        <f>SC13EQ!G82</f>
        <v>0</v>
      </c>
      <c r="I86" s="34">
        <f t="shared" si="1"/>
        <v>0</v>
      </c>
      <c r="J86" s="572" t="str">
        <f t="shared" si="12"/>
        <v/>
      </c>
      <c r="K86" s="367">
        <f>SC13EQ!J82</f>
        <v>0</v>
      </c>
    </row>
    <row r="87" spans="1:11" ht="12.75" customHeight="1" x14ac:dyDescent="0.25">
      <c r="A87" s="606" t="s">
        <v>1180</v>
      </c>
      <c r="B87" s="90"/>
      <c r="C87" s="744">
        <f>SC13EQ!B83</f>
        <v>0</v>
      </c>
      <c r="D87" s="744">
        <f>SC13EQ!C83</f>
        <v>0</v>
      </c>
      <c r="E87" s="331">
        <f>SC13EQ!D83</f>
        <v>0</v>
      </c>
      <c r="F87" s="704">
        <f>SC13EQ!E83</f>
        <v>0</v>
      </c>
      <c r="G87" s="331">
        <f>SC13EQ!F83</f>
        <v>0</v>
      </c>
      <c r="H87" s="704">
        <f>SC13EQ!G83</f>
        <v>0</v>
      </c>
      <c r="I87" s="34">
        <f t="shared" si="1"/>
        <v>0</v>
      </c>
      <c r="J87" s="572" t="str">
        <f t="shared" si="12"/>
        <v/>
      </c>
      <c r="K87" s="367">
        <f>SC13EQ!J83</f>
        <v>0</v>
      </c>
    </row>
    <row r="88" spans="1:11" ht="12.75" customHeight="1" x14ac:dyDescent="0.25">
      <c r="A88" s="606" t="s">
        <v>148</v>
      </c>
      <c r="B88" s="90"/>
      <c r="C88" s="744">
        <f>SC13EQ!B84</f>
        <v>0</v>
      </c>
      <c r="D88" s="744">
        <f>SC13EQ!C84</f>
        <v>0</v>
      </c>
      <c r="E88" s="331">
        <f>SC13EQ!D84</f>
        <v>0</v>
      </c>
      <c r="F88" s="704">
        <f>SC13EQ!E84</f>
        <v>0</v>
      </c>
      <c r="G88" s="331">
        <f>SC13EQ!F84</f>
        <v>0</v>
      </c>
      <c r="H88" s="704">
        <f>SC13EQ!G84</f>
        <v>0</v>
      </c>
      <c r="I88" s="34">
        <f t="shared" si="1"/>
        <v>0</v>
      </c>
      <c r="J88" s="572" t="str">
        <f t="shared" si="12"/>
        <v/>
      </c>
      <c r="K88" s="367">
        <f>SC13EQ!J84</f>
        <v>0</v>
      </c>
    </row>
    <row r="89" spans="1:11" ht="12.75" customHeight="1" x14ac:dyDescent="0.25">
      <c r="A89" s="606" t="s">
        <v>1181</v>
      </c>
      <c r="B89" s="90"/>
      <c r="C89" s="744">
        <f>SC13EQ!B85</f>
        <v>0</v>
      </c>
      <c r="D89" s="744">
        <f>SC13EQ!C85</f>
        <v>0</v>
      </c>
      <c r="E89" s="331">
        <f>SC13EQ!D85</f>
        <v>0</v>
      </c>
      <c r="F89" s="704">
        <f>SC13EQ!E85</f>
        <v>0</v>
      </c>
      <c r="G89" s="331">
        <f>SC13EQ!F85</f>
        <v>0</v>
      </c>
      <c r="H89" s="704">
        <f>SC13EQ!G85</f>
        <v>0</v>
      </c>
      <c r="I89" s="34">
        <f t="shared" si="1"/>
        <v>0</v>
      </c>
      <c r="J89" s="572" t="str">
        <f t="shared" si="12"/>
        <v/>
      </c>
      <c r="K89" s="367">
        <f>SC13EQ!J85</f>
        <v>0</v>
      </c>
    </row>
    <row r="90" spans="1:11" ht="12.75" customHeight="1" x14ac:dyDescent="0.25">
      <c r="A90" s="606" t="s">
        <v>1182</v>
      </c>
      <c r="B90" s="90"/>
      <c r="C90" s="744">
        <f>SC13EQ!B86</f>
        <v>0</v>
      </c>
      <c r="D90" s="744">
        <f>SC13EQ!C86</f>
        <v>0</v>
      </c>
      <c r="E90" s="331">
        <f>SC13EQ!D86</f>
        <v>0</v>
      </c>
      <c r="F90" s="704">
        <f>SC13EQ!E86</f>
        <v>0</v>
      </c>
      <c r="G90" s="331">
        <f>SC13EQ!F86</f>
        <v>0</v>
      </c>
      <c r="H90" s="704">
        <f>SC13EQ!G86</f>
        <v>0</v>
      </c>
      <c r="I90" s="34">
        <f t="shared" si="1"/>
        <v>0</v>
      </c>
      <c r="J90" s="572" t="str">
        <f t="shared" si="12"/>
        <v/>
      </c>
      <c r="K90" s="367">
        <f>SC13EQ!J86</f>
        <v>0</v>
      </c>
    </row>
    <row r="91" spans="1:11" ht="12.75" customHeight="1" x14ac:dyDescent="0.25">
      <c r="A91" s="606" t="s">
        <v>1183</v>
      </c>
      <c r="B91" s="90"/>
      <c r="C91" s="744">
        <f>SC13EQ!B87</f>
        <v>0</v>
      </c>
      <c r="D91" s="744">
        <f>SC13EQ!C87</f>
        <v>0</v>
      </c>
      <c r="E91" s="331">
        <f>SC13EQ!D87</f>
        <v>0</v>
      </c>
      <c r="F91" s="704">
        <f>SC13EQ!E87</f>
        <v>0</v>
      </c>
      <c r="G91" s="331">
        <f>SC13EQ!F87</f>
        <v>0</v>
      </c>
      <c r="H91" s="704">
        <f>SC13EQ!G87</f>
        <v>0</v>
      </c>
      <c r="I91" s="34">
        <f t="shared" si="1"/>
        <v>0</v>
      </c>
      <c r="J91" s="572" t="str">
        <f t="shared" si="12"/>
        <v/>
      </c>
      <c r="K91" s="367">
        <f>SC13EQ!J87</f>
        <v>0</v>
      </c>
    </row>
    <row r="92" spans="1:11" ht="12.75" customHeight="1" x14ac:dyDescent="0.25">
      <c r="A92" s="606" t="s">
        <v>1184</v>
      </c>
      <c r="B92" s="90"/>
      <c r="C92" s="744">
        <f>SC13EQ!B88</f>
        <v>0</v>
      </c>
      <c r="D92" s="744">
        <f>SC13EQ!C88</f>
        <v>0</v>
      </c>
      <c r="E92" s="331">
        <f>SC13EQ!D88</f>
        <v>0</v>
      </c>
      <c r="F92" s="704">
        <f>SC13EQ!E88</f>
        <v>0</v>
      </c>
      <c r="G92" s="331">
        <f>SC13EQ!F88</f>
        <v>0</v>
      </c>
      <c r="H92" s="704">
        <f>SC13EQ!G88</f>
        <v>0</v>
      </c>
      <c r="I92" s="34">
        <f t="shared" si="1"/>
        <v>0</v>
      </c>
      <c r="J92" s="572" t="str">
        <f t="shared" si="12"/>
        <v/>
      </c>
      <c r="K92" s="367">
        <f>SC13EQ!J88</f>
        <v>0</v>
      </c>
    </row>
    <row r="93" spans="1:11" ht="12.75" customHeight="1" x14ac:dyDescent="0.25">
      <c r="A93" s="606" t="s">
        <v>402</v>
      </c>
      <c r="B93" s="90"/>
      <c r="C93" s="744">
        <f>SC13EQ!B89</f>
        <v>0</v>
      </c>
      <c r="D93" s="744">
        <f>SC13EQ!C89</f>
        <v>0</v>
      </c>
      <c r="E93" s="331">
        <f>SC13EQ!D89</f>
        <v>0</v>
      </c>
      <c r="F93" s="704">
        <f>SC13EQ!E89</f>
        <v>0</v>
      </c>
      <c r="G93" s="331">
        <f>SC13EQ!F89</f>
        <v>0</v>
      </c>
      <c r="H93" s="704">
        <f>SC13EQ!G89</f>
        <v>0</v>
      </c>
      <c r="I93" s="34">
        <f t="shared" si="1"/>
        <v>0</v>
      </c>
      <c r="J93" s="572" t="str">
        <f t="shared" si="12"/>
        <v/>
      </c>
      <c r="K93" s="367">
        <f>SC13EQ!J89</f>
        <v>0</v>
      </c>
    </row>
    <row r="94" spans="1:11" ht="12.75" customHeight="1" x14ac:dyDescent="0.25">
      <c r="A94" s="606" t="s">
        <v>1185</v>
      </c>
      <c r="B94" s="90"/>
      <c r="C94" s="744">
        <f>SC13EQ!B90</f>
        <v>0</v>
      </c>
      <c r="D94" s="744">
        <f>SC13EQ!C90</f>
        <v>0</v>
      </c>
      <c r="E94" s="331">
        <f>SC13EQ!D90</f>
        <v>0</v>
      </c>
      <c r="F94" s="704">
        <f>SC13EQ!E90</f>
        <v>0</v>
      </c>
      <c r="G94" s="331">
        <f>SC13EQ!F90</f>
        <v>0</v>
      </c>
      <c r="H94" s="704">
        <f>SC13EQ!G90</f>
        <v>0</v>
      </c>
      <c r="I94" s="34">
        <f t="shared" si="1"/>
        <v>0</v>
      </c>
      <c r="J94" s="572" t="str">
        <f t="shared" si="12"/>
        <v/>
      </c>
      <c r="K94" s="367">
        <f>SC13EQ!J90</f>
        <v>0</v>
      </c>
    </row>
    <row r="95" spans="1:11" ht="12.75" customHeight="1" x14ac:dyDescent="0.25">
      <c r="A95" s="606" t="s">
        <v>401</v>
      </c>
      <c r="B95" s="90"/>
      <c r="C95" s="744">
        <f>SC13EQ!B91</f>
        <v>0</v>
      </c>
      <c r="D95" s="744">
        <f>SC13EQ!C91</f>
        <v>0</v>
      </c>
      <c r="E95" s="331">
        <f>SC13EQ!D91</f>
        <v>0</v>
      </c>
      <c r="F95" s="704">
        <f>SC13EQ!E91</f>
        <v>0</v>
      </c>
      <c r="G95" s="331">
        <f>SC13EQ!F91</f>
        <v>0</v>
      </c>
      <c r="H95" s="704">
        <f>SC13EQ!G91</f>
        <v>0</v>
      </c>
      <c r="I95" s="34">
        <f t="shared" si="1"/>
        <v>0</v>
      </c>
      <c r="J95" s="572" t="str">
        <f t="shared" si="12"/>
        <v/>
      </c>
      <c r="K95" s="367">
        <f>SC13EQ!J91</f>
        <v>0</v>
      </c>
    </row>
    <row r="96" spans="1:11" ht="12.75" customHeight="1" x14ac:dyDescent="0.25">
      <c r="A96" s="606" t="s">
        <v>1186</v>
      </c>
      <c r="B96" s="90"/>
      <c r="C96" s="744">
        <f>SC13EQ!B92</f>
        <v>0</v>
      </c>
      <c r="D96" s="744">
        <f>SC13EQ!C92</f>
        <v>0</v>
      </c>
      <c r="E96" s="331">
        <f>SC13EQ!D92</f>
        <v>0</v>
      </c>
      <c r="F96" s="704">
        <f>SC13EQ!E92</f>
        <v>0</v>
      </c>
      <c r="G96" s="331">
        <f>SC13EQ!F92</f>
        <v>0</v>
      </c>
      <c r="H96" s="704">
        <f>SC13EQ!G92</f>
        <v>0</v>
      </c>
      <c r="I96" s="34">
        <f t="shared" si="1"/>
        <v>0</v>
      </c>
      <c r="J96" s="572" t="str">
        <f t="shared" si="12"/>
        <v/>
      </c>
      <c r="K96" s="367">
        <f>SC13EQ!J92</f>
        <v>0</v>
      </c>
    </row>
    <row r="97" spans="1:11" ht="12.75" customHeight="1" x14ac:dyDescent="0.25">
      <c r="A97" s="606" t="s">
        <v>1187</v>
      </c>
      <c r="B97" s="90"/>
      <c r="C97" s="744">
        <f>SC13EQ!B93</f>
        <v>9374847.5600000005</v>
      </c>
      <c r="D97" s="744">
        <f>SC13EQ!C93</f>
        <v>15000000</v>
      </c>
      <c r="E97" s="331">
        <f>SC13EQ!D93</f>
        <v>15700000</v>
      </c>
      <c r="F97" s="704">
        <f>SC13EQ!E93</f>
        <v>199609</v>
      </c>
      <c r="G97" s="331">
        <f>SC13EQ!F93</f>
        <v>11801664.529999999</v>
      </c>
      <c r="H97" s="704">
        <f>SC13EQ!G93</f>
        <v>19251753.559999999</v>
      </c>
      <c r="I97" s="34">
        <f t="shared" si="1"/>
        <v>7450089.0299999993</v>
      </c>
      <c r="J97" s="572">
        <f t="shared" si="12"/>
        <v>0.38698236016688342</v>
      </c>
      <c r="K97" s="367">
        <f>SC13EQ!J93</f>
        <v>15700000</v>
      </c>
    </row>
    <row r="98" spans="1:11" ht="12.75" customHeight="1" x14ac:dyDescent="0.25">
      <c r="A98" s="606" t="s">
        <v>1122</v>
      </c>
      <c r="B98" s="90"/>
      <c r="C98" s="744">
        <f>SC13EQ!B94</f>
        <v>0</v>
      </c>
      <c r="D98" s="744">
        <f>SC13EQ!C94</f>
        <v>0</v>
      </c>
      <c r="E98" s="331">
        <f>SC13EQ!D94</f>
        <v>0</v>
      </c>
      <c r="F98" s="704">
        <f>SC13EQ!E94</f>
        <v>0</v>
      </c>
      <c r="G98" s="331">
        <f>SC13EQ!F94</f>
        <v>0</v>
      </c>
      <c r="H98" s="704">
        <f>SC13EQ!G94</f>
        <v>0</v>
      </c>
      <c r="I98" s="34">
        <f t="shared" si="1"/>
        <v>0</v>
      </c>
      <c r="J98" s="572" t="str">
        <f t="shared" si="12"/>
        <v/>
      </c>
      <c r="K98" s="367">
        <f>SC13EQ!J94</f>
        <v>0</v>
      </c>
    </row>
    <row r="99" spans="1:11" ht="12.75" customHeight="1" x14ac:dyDescent="0.25">
      <c r="A99" s="30" t="s">
        <v>1188</v>
      </c>
      <c r="B99" s="90"/>
      <c r="C99" s="74">
        <f t="shared" ref="C99:H99" si="16">SUM(C100:C102)</f>
        <v>22820001.710000001</v>
      </c>
      <c r="D99" s="489">
        <f t="shared" si="16"/>
        <v>2250000</v>
      </c>
      <c r="E99" s="34">
        <f t="shared" si="16"/>
        <v>2250000</v>
      </c>
      <c r="F99" s="33">
        <f t="shared" si="16"/>
        <v>0</v>
      </c>
      <c r="G99" s="34">
        <f t="shared" si="16"/>
        <v>856879.27</v>
      </c>
      <c r="H99" s="33">
        <f t="shared" si="16"/>
        <v>2056879.27</v>
      </c>
      <c r="I99" s="34">
        <f t="shared" si="1"/>
        <v>1200000</v>
      </c>
      <c r="J99" s="572">
        <f t="shared" ref="J99:J162" si="17">IF(H99=0,"",I99/H99)</f>
        <v>0.5834080869510635</v>
      </c>
      <c r="K99" s="35">
        <f>SUM(K100:K102)</f>
        <v>2250000</v>
      </c>
    </row>
    <row r="100" spans="1:11" ht="12.75" customHeight="1" x14ac:dyDescent="0.25">
      <c r="A100" s="606" t="s">
        <v>1189</v>
      </c>
      <c r="B100" s="90"/>
      <c r="C100" s="744">
        <f>SC13EQ!B96</f>
        <v>0</v>
      </c>
      <c r="D100" s="744">
        <f>SC13EQ!C96</f>
        <v>0</v>
      </c>
      <c r="E100" s="331">
        <f>SC13EQ!D96</f>
        <v>0</v>
      </c>
      <c r="F100" s="704">
        <f>SC13EQ!E96</f>
        <v>0</v>
      </c>
      <c r="G100" s="331">
        <f>SC13EQ!F96</f>
        <v>0</v>
      </c>
      <c r="H100" s="704">
        <f>SC13EQ!G96</f>
        <v>0</v>
      </c>
      <c r="I100" s="34">
        <f t="shared" si="1"/>
        <v>0</v>
      </c>
      <c r="J100" s="572" t="str">
        <f t="shared" si="17"/>
        <v/>
      </c>
      <c r="K100" s="367">
        <f>SC13EQ!J96</f>
        <v>0</v>
      </c>
    </row>
    <row r="101" spans="1:11" ht="12.75" customHeight="1" x14ac:dyDescent="0.25">
      <c r="A101" s="606" t="s">
        <v>1190</v>
      </c>
      <c r="B101" s="90"/>
      <c r="C101" s="744">
        <f>SC13EQ!B97</f>
        <v>22820001.710000001</v>
      </c>
      <c r="D101" s="744">
        <f>SC13EQ!C97</f>
        <v>2250000</v>
      </c>
      <c r="E101" s="331">
        <f>SC13EQ!D97</f>
        <v>2250000</v>
      </c>
      <c r="F101" s="704">
        <f>SC13EQ!E97</f>
        <v>0</v>
      </c>
      <c r="G101" s="331">
        <f>SC13EQ!F97</f>
        <v>856879.27</v>
      </c>
      <c r="H101" s="704">
        <f>SC13EQ!G97</f>
        <v>2056879.27</v>
      </c>
      <c r="I101" s="34">
        <f t="shared" ref="I101:I133" si="18">H101-G101</f>
        <v>1200000</v>
      </c>
      <c r="J101" s="572">
        <f t="shared" si="17"/>
        <v>0.5834080869510635</v>
      </c>
      <c r="K101" s="367">
        <f>SC13EQ!J97</f>
        <v>2250000</v>
      </c>
    </row>
    <row r="102" spans="1:11" ht="12.75" customHeight="1" x14ac:dyDescent="0.25">
      <c r="A102" s="606" t="s">
        <v>1122</v>
      </c>
      <c r="B102" s="90"/>
      <c r="C102" s="744">
        <f>SC13EQ!B98</f>
        <v>0</v>
      </c>
      <c r="D102" s="744">
        <f>SC13EQ!C98</f>
        <v>0</v>
      </c>
      <c r="E102" s="331">
        <f>SC13EQ!D98</f>
        <v>0</v>
      </c>
      <c r="F102" s="704">
        <f>SC13EQ!E98</f>
        <v>0</v>
      </c>
      <c r="G102" s="331">
        <f>SC13EQ!F98</f>
        <v>0</v>
      </c>
      <c r="H102" s="704">
        <f>SC13EQ!G98</f>
        <v>0</v>
      </c>
      <c r="I102" s="34">
        <f t="shared" si="18"/>
        <v>0</v>
      </c>
      <c r="J102" s="572" t="str">
        <f t="shared" si="17"/>
        <v/>
      </c>
      <c r="K102" s="367">
        <f>SC13EQ!J98</f>
        <v>0</v>
      </c>
    </row>
    <row r="103" spans="1:11" ht="12.75" customHeight="1" x14ac:dyDescent="0.25">
      <c r="A103" s="29" t="s">
        <v>618</v>
      </c>
      <c r="B103" s="90"/>
      <c r="C103" s="142">
        <f t="shared" ref="C103:H103" si="19">SUM(C104:C108)</f>
        <v>0</v>
      </c>
      <c r="D103" s="738">
        <f t="shared" si="19"/>
        <v>0</v>
      </c>
      <c r="E103" s="65">
        <f t="shared" si="19"/>
        <v>0</v>
      </c>
      <c r="F103" s="738">
        <f t="shared" si="19"/>
        <v>0</v>
      </c>
      <c r="G103" s="65">
        <f t="shared" si="19"/>
        <v>0</v>
      </c>
      <c r="H103" s="738">
        <f t="shared" si="19"/>
        <v>0</v>
      </c>
      <c r="I103" s="34">
        <f t="shared" si="18"/>
        <v>0</v>
      </c>
      <c r="J103" s="572" t="str">
        <f t="shared" si="17"/>
        <v/>
      </c>
      <c r="K103" s="740">
        <f>SUM(K104:K108)</f>
        <v>0</v>
      </c>
    </row>
    <row r="104" spans="1:11" ht="12.75" customHeight="1" x14ac:dyDescent="0.25">
      <c r="A104" s="30" t="s">
        <v>1192</v>
      </c>
      <c r="B104" s="90"/>
      <c r="C104" s="745">
        <f>SC13EQ!B101</f>
        <v>0</v>
      </c>
      <c r="D104" s="745">
        <f>SC13EQ!C100</f>
        <v>0</v>
      </c>
      <c r="E104" s="540">
        <f>SC13EQ!D100</f>
        <v>0</v>
      </c>
      <c r="F104" s="739">
        <f>SC13EQ!E100</f>
        <v>0</v>
      </c>
      <c r="G104" s="540">
        <f>SC13EQ!F100</f>
        <v>0</v>
      </c>
      <c r="H104" s="739">
        <f>SC13EQ!G100</f>
        <v>0</v>
      </c>
      <c r="I104" s="328">
        <f t="shared" si="18"/>
        <v>0</v>
      </c>
      <c r="J104" s="534" t="str">
        <f t="shared" si="17"/>
        <v/>
      </c>
      <c r="K104" s="735">
        <f>SC13EQ!J100</f>
        <v>0</v>
      </c>
    </row>
    <row r="105" spans="1:11" ht="12.75" customHeight="1" x14ac:dyDescent="0.25">
      <c r="A105" s="30" t="s">
        <v>1193</v>
      </c>
      <c r="B105" s="90"/>
      <c r="C105" s="745">
        <f>SC13EQ!B103</f>
        <v>0</v>
      </c>
      <c r="D105" s="745">
        <f>SC13EQ!C101</f>
        <v>0</v>
      </c>
      <c r="E105" s="540">
        <f>SC13EQ!D101</f>
        <v>0</v>
      </c>
      <c r="F105" s="739">
        <f>SC13EQ!E101</f>
        <v>0</v>
      </c>
      <c r="G105" s="540">
        <f>SC13EQ!F101</f>
        <v>0</v>
      </c>
      <c r="H105" s="739">
        <f>SC13EQ!G101</f>
        <v>0</v>
      </c>
      <c r="I105" s="34">
        <f t="shared" si="18"/>
        <v>0</v>
      </c>
      <c r="J105" s="572" t="str">
        <f t="shared" si="17"/>
        <v/>
      </c>
      <c r="K105" s="735">
        <f>SC13EQ!J101</f>
        <v>0</v>
      </c>
    </row>
    <row r="106" spans="1:11" ht="12.75" customHeight="1" x14ac:dyDescent="0.25">
      <c r="A106" s="30" t="s">
        <v>1194</v>
      </c>
      <c r="B106" s="90"/>
      <c r="C106" s="745">
        <f>SC13EQ!B105</f>
        <v>0</v>
      </c>
      <c r="D106" s="745">
        <f>SC13EQ!C102</f>
        <v>0</v>
      </c>
      <c r="E106" s="540">
        <f>SC13EQ!D102</f>
        <v>0</v>
      </c>
      <c r="F106" s="739">
        <f>SC13EQ!E102</f>
        <v>0</v>
      </c>
      <c r="G106" s="540">
        <f>SC13EQ!F102</f>
        <v>0</v>
      </c>
      <c r="H106" s="739">
        <f>SC13EQ!G102</f>
        <v>0</v>
      </c>
      <c r="I106" s="34">
        <f t="shared" si="18"/>
        <v>0</v>
      </c>
      <c r="J106" s="572" t="str">
        <f t="shared" si="17"/>
        <v/>
      </c>
      <c r="K106" s="735">
        <f>SC13EQ!J102</f>
        <v>0</v>
      </c>
    </row>
    <row r="107" spans="1:11" ht="12.75" customHeight="1" x14ac:dyDescent="0.25">
      <c r="A107" s="30" t="s">
        <v>1195</v>
      </c>
      <c r="B107" s="90"/>
      <c r="C107" s="745">
        <f>SC13EQ!B107</f>
        <v>0</v>
      </c>
      <c r="D107" s="745">
        <f>SC13EQ!C103</f>
        <v>0</v>
      </c>
      <c r="E107" s="540">
        <f>SC13EQ!D103</f>
        <v>0</v>
      </c>
      <c r="F107" s="739">
        <f>SC13EQ!E103</f>
        <v>0</v>
      </c>
      <c r="G107" s="540">
        <f>SC13EQ!F103</f>
        <v>0</v>
      </c>
      <c r="H107" s="739">
        <f>SC13EQ!G103</f>
        <v>0</v>
      </c>
      <c r="I107" s="34">
        <f t="shared" si="18"/>
        <v>0</v>
      </c>
      <c r="J107" s="572" t="str">
        <f t="shared" si="17"/>
        <v/>
      </c>
      <c r="K107" s="735">
        <f>SC13EQ!J103</f>
        <v>0</v>
      </c>
    </row>
    <row r="108" spans="1:11" ht="12.75" customHeight="1" x14ac:dyDescent="0.25">
      <c r="A108" s="30" t="s">
        <v>1196</v>
      </c>
      <c r="B108" s="90"/>
      <c r="C108" s="745">
        <f>SC13EQ!B109</f>
        <v>0</v>
      </c>
      <c r="D108" s="745">
        <f>SC13EQ!C104</f>
        <v>0</v>
      </c>
      <c r="E108" s="540">
        <f>SC13EQ!D104</f>
        <v>0</v>
      </c>
      <c r="F108" s="739">
        <f>SC13EQ!E104</f>
        <v>0</v>
      </c>
      <c r="G108" s="540">
        <f>SC13EQ!F104</f>
        <v>0</v>
      </c>
      <c r="H108" s="739">
        <f>SC13EQ!G104</f>
        <v>0</v>
      </c>
      <c r="I108" s="34">
        <f t="shared" si="18"/>
        <v>0</v>
      </c>
      <c r="J108" s="572" t="str">
        <f t="shared" si="17"/>
        <v/>
      </c>
      <c r="K108" s="735">
        <f>SC13EQ!J104</f>
        <v>0</v>
      </c>
    </row>
    <row r="109" spans="1:11" ht="5.0999999999999996" customHeight="1" x14ac:dyDescent="0.25">
      <c r="A109" s="32"/>
      <c r="B109" s="90"/>
      <c r="C109" s="74"/>
      <c r="D109" s="33"/>
      <c r="E109" s="34"/>
      <c r="F109" s="33"/>
      <c r="G109" s="34"/>
      <c r="H109" s="33"/>
      <c r="I109" s="34">
        <f t="shared" si="18"/>
        <v>0</v>
      </c>
      <c r="J109" s="572" t="str">
        <f t="shared" si="17"/>
        <v/>
      </c>
      <c r="K109" s="35"/>
    </row>
    <row r="110" spans="1:11" ht="12.75" customHeight="1" x14ac:dyDescent="0.25">
      <c r="A110" s="29" t="s">
        <v>619</v>
      </c>
      <c r="B110" s="340"/>
      <c r="C110" s="220">
        <f t="shared" ref="C110:H110" si="20">+C111+C114</f>
        <v>10025887.15</v>
      </c>
      <c r="D110" s="737">
        <f t="shared" si="20"/>
        <v>3999000</v>
      </c>
      <c r="E110" s="221">
        <f t="shared" si="20"/>
        <v>3999000</v>
      </c>
      <c r="F110" s="737">
        <f t="shared" si="20"/>
        <v>0</v>
      </c>
      <c r="G110" s="221">
        <f t="shared" si="20"/>
        <v>343970</v>
      </c>
      <c r="H110" s="737">
        <f t="shared" si="20"/>
        <v>1499000</v>
      </c>
      <c r="I110" s="34">
        <f t="shared" si="18"/>
        <v>1155030</v>
      </c>
      <c r="J110" s="572">
        <f t="shared" si="17"/>
        <v>0.77053368912608411</v>
      </c>
      <c r="K110" s="734">
        <f>+K111+K114</f>
        <v>3999000</v>
      </c>
    </row>
    <row r="111" spans="1:11" ht="12.75" customHeight="1" x14ac:dyDescent="0.25">
      <c r="A111" s="30" t="s">
        <v>1197</v>
      </c>
      <c r="B111" s="90"/>
      <c r="C111" s="74">
        <f t="shared" ref="C111:H111" si="21">SUM(C112:C113)</f>
        <v>5533159.4900000002</v>
      </c>
      <c r="D111" s="489">
        <f t="shared" si="21"/>
        <v>500000</v>
      </c>
      <c r="E111" s="34">
        <f t="shared" si="21"/>
        <v>500000</v>
      </c>
      <c r="F111" s="33">
        <f t="shared" si="21"/>
        <v>0</v>
      </c>
      <c r="G111" s="34">
        <f t="shared" si="21"/>
        <v>343970</v>
      </c>
      <c r="H111" s="33">
        <f t="shared" si="21"/>
        <v>0</v>
      </c>
      <c r="I111" s="328">
        <f t="shared" si="18"/>
        <v>-343970</v>
      </c>
      <c r="J111" s="534" t="str">
        <f t="shared" si="17"/>
        <v/>
      </c>
      <c r="K111" s="35">
        <f>SUM(K112:K113)</f>
        <v>500000</v>
      </c>
    </row>
    <row r="112" spans="1:11" ht="12.75" customHeight="1" x14ac:dyDescent="0.25">
      <c r="A112" s="606" t="s">
        <v>1198</v>
      </c>
      <c r="B112" s="90"/>
      <c r="C112" s="744">
        <f>SC13EQ!B112</f>
        <v>5533159.4900000002</v>
      </c>
      <c r="D112" s="744">
        <f>SC13EQ!C112</f>
        <v>500000</v>
      </c>
      <c r="E112" s="331">
        <f>SC13EQ!D112</f>
        <v>500000</v>
      </c>
      <c r="F112" s="704">
        <f>SC13EQ!E112</f>
        <v>0</v>
      </c>
      <c r="G112" s="331">
        <f>SC13EQ!F112</f>
        <v>343970</v>
      </c>
      <c r="H112" s="704">
        <f>SC13EQ!G112</f>
        <v>0</v>
      </c>
      <c r="I112" s="331">
        <f>SC13EQ!H112</f>
        <v>-343970</v>
      </c>
      <c r="J112" s="693" t="str">
        <f t="shared" si="17"/>
        <v/>
      </c>
      <c r="K112" s="367">
        <f>SC13EQ!J112</f>
        <v>500000</v>
      </c>
    </row>
    <row r="113" spans="1:11" ht="12.75" customHeight="1" x14ac:dyDescent="0.25">
      <c r="A113" s="606" t="s">
        <v>1199</v>
      </c>
      <c r="B113" s="90"/>
      <c r="C113" s="744">
        <f>SC13EQ!B113</f>
        <v>0</v>
      </c>
      <c r="D113" s="744">
        <f>SC13EQ!C113</f>
        <v>0</v>
      </c>
      <c r="E113" s="331">
        <f>SC13EQ!D113</f>
        <v>0</v>
      </c>
      <c r="F113" s="704">
        <f>SC13EQ!E113</f>
        <v>0</v>
      </c>
      <c r="G113" s="331">
        <f>SC13EQ!F113</f>
        <v>0</v>
      </c>
      <c r="H113" s="704">
        <f>SC13EQ!G113</f>
        <v>0</v>
      </c>
      <c r="I113" s="331">
        <f>SC13EQ!H113</f>
        <v>0</v>
      </c>
      <c r="J113" s="693" t="str">
        <f t="shared" si="17"/>
        <v/>
      </c>
      <c r="K113" s="367">
        <f>SC13EQ!J113</f>
        <v>0</v>
      </c>
    </row>
    <row r="114" spans="1:11" ht="12.75" customHeight="1" x14ac:dyDescent="0.25">
      <c r="A114" s="30" t="s">
        <v>1200</v>
      </c>
      <c r="B114" s="90"/>
      <c r="C114" s="74">
        <f t="shared" ref="C114:H114" si="22">SUM(C115:C116)</f>
        <v>4492727.66</v>
      </c>
      <c r="D114" s="489">
        <f t="shared" si="22"/>
        <v>3499000</v>
      </c>
      <c r="E114" s="34">
        <f t="shared" si="22"/>
        <v>3499000</v>
      </c>
      <c r="F114" s="33">
        <f t="shared" si="22"/>
        <v>0</v>
      </c>
      <c r="G114" s="34">
        <f t="shared" si="22"/>
        <v>0</v>
      </c>
      <c r="H114" s="33">
        <f t="shared" si="22"/>
        <v>1499000</v>
      </c>
      <c r="I114" s="34">
        <f t="shared" si="18"/>
        <v>1499000</v>
      </c>
      <c r="J114" s="693">
        <f t="shared" si="17"/>
        <v>1</v>
      </c>
      <c r="K114" s="35">
        <f>SUM(K115:K116)</f>
        <v>3499000</v>
      </c>
    </row>
    <row r="115" spans="1:11" ht="12.75" customHeight="1" x14ac:dyDescent="0.25">
      <c r="A115" s="606" t="s">
        <v>1198</v>
      </c>
      <c r="B115" s="90"/>
      <c r="C115" s="744">
        <f>SC13EQ!B115</f>
        <v>4492727.66</v>
      </c>
      <c r="D115" s="744">
        <f>SC13EQ!C115</f>
        <v>3499000</v>
      </c>
      <c r="E115" s="331">
        <f>SC13EQ!D115</f>
        <v>3499000</v>
      </c>
      <c r="F115" s="704">
        <f>SC13EQ!E115</f>
        <v>0</v>
      </c>
      <c r="G115" s="331">
        <f>SC13EQ!F115</f>
        <v>0</v>
      </c>
      <c r="H115" s="704">
        <f>SC13EQ!G115</f>
        <v>1499000</v>
      </c>
      <c r="I115" s="331">
        <f>SC13EQ!H115</f>
        <v>1499000</v>
      </c>
      <c r="J115" s="693">
        <f t="shared" si="17"/>
        <v>1</v>
      </c>
      <c r="K115" s="367">
        <f>SC13EQ!J115</f>
        <v>3499000</v>
      </c>
    </row>
    <row r="116" spans="1:11" ht="12.75" customHeight="1" x14ac:dyDescent="0.25">
      <c r="A116" s="606" t="s">
        <v>1199</v>
      </c>
      <c r="B116" s="90"/>
      <c r="C116" s="744">
        <f>SC13EQ!B116</f>
        <v>0</v>
      </c>
      <c r="D116" s="744">
        <f>SC13EQ!C116</f>
        <v>0</v>
      </c>
      <c r="E116" s="331">
        <f>SC13EQ!D116</f>
        <v>0</v>
      </c>
      <c r="F116" s="704">
        <f>SC13EQ!E116</f>
        <v>0</v>
      </c>
      <c r="G116" s="331">
        <f>SC13EQ!F116</f>
        <v>0</v>
      </c>
      <c r="H116" s="704">
        <f>SC13EQ!G116</f>
        <v>0</v>
      </c>
      <c r="I116" s="331">
        <f>SC13EQ!H116</f>
        <v>0</v>
      </c>
      <c r="J116" s="693" t="str">
        <f t="shared" si="17"/>
        <v/>
      </c>
      <c r="K116" s="367">
        <f>SC13EQ!J116</f>
        <v>0</v>
      </c>
    </row>
    <row r="117" spans="1:11" ht="12.75" customHeight="1" x14ac:dyDescent="0.25">
      <c r="A117" s="29" t="s">
        <v>620</v>
      </c>
      <c r="B117" s="90"/>
      <c r="C117" s="220">
        <f t="shared" ref="C117:H117" si="23">+C118+C130</f>
        <v>-1780942.0299999998</v>
      </c>
      <c r="D117" s="737">
        <f t="shared" si="23"/>
        <v>3200000</v>
      </c>
      <c r="E117" s="221">
        <f t="shared" si="23"/>
        <v>4900300</v>
      </c>
      <c r="F117" s="737">
        <f t="shared" si="23"/>
        <v>27533</v>
      </c>
      <c r="G117" s="221">
        <f t="shared" si="23"/>
        <v>27533</v>
      </c>
      <c r="H117" s="737">
        <f t="shared" si="23"/>
        <v>1220300</v>
      </c>
      <c r="I117" s="34">
        <f t="shared" si="18"/>
        <v>1192767</v>
      </c>
      <c r="J117" s="572">
        <f t="shared" si="17"/>
        <v>0.97743751536507417</v>
      </c>
      <c r="K117" s="734">
        <f>+K118+K130</f>
        <v>4900300</v>
      </c>
    </row>
    <row r="118" spans="1:11" ht="12.75" customHeight="1" x14ac:dyDescent="0.25">
      <c r="A118" s="30" t="s">
        <v>1201</v>
      </c>
      <c r="B118" s="90"/>
      <c r="C118" s="74">
        <f t="shared" ref="C118:H118" si="24">SUM(C119:C129)</f>
        <v>-1780942.0299999998</v>
      </c>
      <c r="D118" s="489">
        <f t="shared" si="24"/>
        <v>3200000</v>
      </c>
      <c r="E118" s="34">
        <f t="shared" si="24"/>
        <v>4900300</v>
      </c>
      <c r="F118" s="33">
        <f t="shared" si="24"/>
        <v>27533</v>
      </c>
      <c r="G118" s="34">
        <f t="shared" si="24"/>
        <v>27533</v>
      </c>
      <c r="H118" s="33">
        <f t="shared" si="24"/>
        <v>1220300</v>
      </c>
      <c r="I118" s="328">
        <f t="shared" si="18"/>
        <v>1192767</v>
      </c>
      <c r="J118" s="534">
        <f t="shared" si="17"/>
        <v>0.97743751536507417</v>
      </c>
      <c r="K118" s="35">
        <f>SUM(K119:K129)</f>
        <v>4900300</v>
      </c>
    </row>
    <row r="119" spans="1:11" ht="12.75" customHeight="1" x14ac:dyDescent="0.25">
      <c r="A119" s="606" t="s">
        <v>1202</v>
      </c>
      <c r="B119" s="90"/>
      <c r="C119" s="744">
        <f>SC13EQ!B119</f>
        <v>-2068067.9</v>
      </c>
      <c r="D119" s="744">
        <f>SC13EQ!C119</f>
        <v>3100000</v>
      </c>
      <c r="E119" s="331">
        <f>SC13EQ!D119</f>
        <v>4800300</v>
      </c>
      <c r="F119" s="704">
        <f>SC13EQ!E119</f>
        <v>27533</v>
      </c>
      <c r="G119" s="331">
        <f>SC13EQ!F119</f>
        <v>27533</v>
      </c>
      <c r="H119" s="704">
        <f>SC13EQ!G119</f>
        <v>1120300</v>
      </c>
      <c r="I119" s="34">
        <f t="shared" si="18"/>
        <v>1092767</v>
      </c>
      <c r="J119" s="572">
        <f t="shared" si="17"/>
        <v>0.97542354726412572</v>
      </c>
      <c r="K119" s="367">
        <f>SC13EQ!J119</f>
        <v>4800300</v>
      </c>
    </row>
    <row r="120" spans="1:11" ht="12.75" customHeight="1" x14ac:dyDescent="0.25">
      <c r="A120" s="606" t="s">
        <v>1203</v>
      </c>
      <c r="B120" s="90"/>
      <c r="C120" s="744">
        <f>SC13EQ!B120</f>
        <v>0</v>
      </c>
      <c r="D120" s="744">
        <f>SC13EQ!C120</f>
        <v>0</v>
      </c>
      <c r="E120" s="331">
        <f>SC13EQ!D120</f>
        <v>0</v>
      </c>
      <c r="F120" s="704">
        <f>SC13EQ!E120</f>
        <v>0</v>
      </c>
      <c r="G120" s="331">
        <f>SC13EQ!F120</f>
        <v>0</v>
      </c>
      <c r="H120" s="704">
        <f>SC13EQ!G120</f>
        <v>0</v>
      </c>
      <c r="I120" s="34">
        <f t="shared" si="18"/>
        <v>0</v>
      </c>
      <c r="J120" s="572" t="str">
        <f t="shared" si="17"/>
        <v/>
      </c>
      <c r="K120" s="367">
        <f>SC13EQ!J120</f>
        <v>0</v>
      </c>
    </row>
    <row r="121" spans="1:11" ht="12.75" customHeight="1" x14ac:dyDescent="0.25">
      <c r="A121" s="606" t="s">
        <v>1204</v>
      </c>
      <c r="B121" s="90"/>
      <c r="C121" s="744">
        <f>SC13EQ!B121</f>
        <v>0</v>
      </c>
      <c r="D121" s="744">
        <f>SC13EQ!C121</f>
        <v>0</v>
      </c>
      <c r="E121" s="331">
        <f>SC13EQ!D121</f>
        <v>0</v>
      </c>
      <c r="F121" s="704">
        <f>SC13EQ!E121</f>
        <v>0</v>
      </c>
      <c r="G121" s="331">
        <f>SC13EQ!F121</f>
        <v>0</v>
      </c>
      <c r="H121" s="704">
        <f>SC13EQ!G121</f>
        <v>0</v>
      </c>
      <c r="I121" s="34">
        <f t="shared" si="18"/>
        <v>0</v>
      </c>
      <c r="J121" s="572" t="str">
        <f t="shared" si="17"/>
        <v/>
      </c>
      <c r="K121" s="367">
        <f>SC13EQ!J121</f>
        <v>0</v>
      </c>
    </row>
    <row r="122" spans="1:11" ht="12.75" customHeight="1" x14ac:dyDescent="0.25">
      <c r="A122" s="606" t="s">
        <v>1205</v>
      </c>
      <c r="B122" s="90"/>
      <c r="C122" s="744">
        <f>SC13EQ!B122</f>
        <v>0</v>
      </c>
      <c r="D122" s="744">
        <f>SC13EQ!C122</f>
        <v>0</v>
      </c>
      <c r="E122" s="331">
        <f>SC13EQ!D122</f>
        <v>0</v>
      </c>
      <c r="F122" s="704">
        <f>SC13EQ!E122</f>
        <v>0</v>
      </c>
      <c r="G122" s="331">
        <f>SC13EQ!F122</f>
        <v>0</v>
      </c>
      <c r="H122" s="704">
        <f>SC13EQ!G122</f>
        <v>0</v>
      </c>
      <c r="I122" s="34">
        <f t="shared" si="18"/>
        <v>0</v>
      </c>
      <c r="J122" s="572" t="str">
        <f t="shared" si="17"/>
        <v/>
      </c>
      <c r="K122" s="367">
        <f>SC13EQ!J122</f>
        <v>0</v>
      </c>
    </row>
    <row r="123" spans="1:11" ht="12.75" customHeight="1" x14ac:dyDescent="0.25">
      <c r="A123" s="606" t="s">
        <v>1206</v>
      </c>
      <c r="B123" s="90"/>
      <c r="C123" s="744">
        <f>SC13EQ!B123</f>
        <v>81175.87</v>
      </c>
      <c r="D123" s="744">
        <f>SC13EQ!C123</f>
        <v>100000</v>
      </c>
      <c r="E123" s="331">
        <f>SC13EQ!D123</f>
        <v>100000</v>
      </c>
      <c r="F123" s="704">
        <f>SC13EQ!E123</f>
        <v>0</v>
      </c>
      <c r="G123" s="331">
        <f>SC13EQ!F123</f>
        <v>0</v>
      </c>
      <c r="H123" s="704">
        <f>SC13EQ!G123</f>
        <v>100000</v>
      </c>
      <c r="I123" s="34">
        <f t="shared" si="18"/>
        <v>100000</v>
      </c>
      <c r="J123" s="572">
        <f t="shared" si="17"/>
        <v>1</v>
      </c>
      <c r="K123" s="367">
        <f>SC13EQ!J123</f>
        <v>100000</v>
      </c>
    </row>
    <row r="124" spans="1:11" ht="12.75" customHeight="1" x14ac:dyDescent="0.25">
      <c r="A124" s="606" t="s">
        <v>1207</v>
      </c>
      <c r="B124" s="90"/>
      <c r="C124" s="744">
        <f>SC13EQ!B124</f>
        <v>0</v>
      </c>
      <c r="D124" s="744">
        <f>SC13EQ!C124</f>
        <v>0</v>
      </c>
      <c r="E124" s="331">
        <f>SC13EQ!D124</f>
        <v>0</v>
      </c>
      <c r="F124" s="704">
        <f>SC13EQ!E124</f>
        <v>0</v>
      </c>
      <c r="G124" s="331">
        <f>SC13EQ!F124</f>
        <v>0</v>
      </c>
      <c r="H124" s="704">
        <f>SC13EQ!G124</f>
        <v>0</v>
      </c>
      <c r="I124" s="34">
        <f t="shared" si="18"/>
        <v>0</v>
      </c>
      <c r="J124" s="572" t="str">
        <f t="shared" si="17"/>
        <v/>
      </c>
      <c r="K124" s="367">
        <f>SC13EQ!J124</f>
        <v>0</v>
      </c>
    </row>
    <row r="125" spans="1:11" ht="12.75" customHeight="1" x14ac:dyDescent="0.25">
      <c r="A125" s="606" t="s">
        <v>1208</v>
      </c>
      <c r="B125" s="90"/>
      <c r="C125" s="744">
        <f>SC13EQ!B125</f>
        <v>0</v>
      </c>
      <c r="D125" s="744">
        <f>SC13EQ!C125</f>
        <v>0</v>
      </c>
      <c r="E125" s="331">
        <f>SC13EQ!D125</f>
        <v>0</v>
      </c>
      <c r="F125" s="704">
        <f>SC13EQ!E125</f>
        <v>0</v>
      </c>
      <c r="G125" s="331">
        <f>SC13EQ!F125</f>
        <v>0</v>
      </c>
      <c r="H125" s="704">
        <f>SC13EQ!G125</f>
        <v>0</v>
      </c>
      <c r="I125" s="34">
        <f t="shared" si="18"/>
        <v>0</v>
      </c>
      <c r="J125" s="572" t="str">
        <f t="shared" si="17"/>
        <v/>
      </c>
      <c r="K125" s="367">
        <f>SC13EQ!J125</f>
        <v>0</v>
      </c>
    </row>
    <row r="126" spans="1:11" ht="12.75" customHeight="1" x14ac:dyDescent="0.25">
      <c r="A126" s="606" t="s">
        <v>1209</v>
      </c>
      <c r="B126" s="90"/>
      <c r="C126" s="744">
        <f>SC13EQ!B126</f>
        <v>0</v>
      </c>
      <c r="D126" s="744">
        <f>SC13EQ!C126</f>
        <v>0</v>
      </c>
      <c r="E126" s="331">
        <f>SC13EQ!D126</f>
        <v>0</v>
      </c>
      <c r="F126" s="704">
        <f>SC13EQ!E126</f>
        <v>0</v>
      </c>
      <c r="G126" s="331">
        <f>SC13EQ!F126</f>
        <v>0</v>
      </c>
      <c r="H126" s="704">
        <f>SC13EQ!G126</f>
        <v>0</v>
      </c>
      <c r="I126" s="34">
        <f t="shared" si="18"/>
        <v>0</v>
      </c>
      <c r="J126" s="572" t="str">
        <f t="shared" si="17"/>
        <v/>
      </c>
      <c r="K126" s="367">
        <f>SC13EQ!J126</f>
        <v>0</v>
      </c>
    </row>
    <row r="127" spans="1:11" ht="12.75" customHeight="1" x14ac:dyDescent="0.25">
      <c r="A127" s="606" t="s">
        <v>1210</v>
      </c>
      <c r="B127" s="90"/>
      <c r="C127" s="744">
        <f>SC13EQ!B127</f>
        <v>0</v>
      </c>
      <c r="D127" s="744">
        <f>SC13EQ!C127</f>
        <v>0</v>
      </c>
      <c r="E127" s="331">
        <f>SC13EQ!D127</f>
        <v>0</v>
      </c>
      <c r="F127" s="704">
        <f>SC13EQ!E127</f>
        <v>0</v>
      </c>
      <c r="G127" s="331">
        <f>SC13EQ!F127</f>
        <v>0</v>
      </c>
      <c r="H127" s="704">
        <f>SC13EQ!G127</f>
        <v>0</v>
      </c>
      <c r="I127" s="34">
        <f t="shared" si="18"/>
        <v>0</v>
      </c>
      <c r="J127" s="572" t="str">
        <f t="shared" si="17"/>
        <v/>
      </c>
      <c r="K127" s="367">
        <f>SC13EQ!J127</f>
        <v>0</v>
      </c>
    </row>
    <row r="128" spans="1:11" ht="12.75" customHeight="1" x14ac:dyDescent="0.25">
      <c r="A128" s="606" t="s">
        <v>1211</v>
      </c>
      <c r="B128" s="90"/>
      <c r="C128" s="744">
        <f>SC13EQ!B128</f>
        <v>205950</v>
      </c>
      <c r="D128" s="744">
        <f>SC13EQ!C128</f>
        <v>0</v>
      </c>
      <c r="E128" s="331">
        <f>SC13EQ!D128</f>
        <v>0</v>
      </c>
      <c r="F128" s="704">
        <f>SC13EQ!E128</f>
        <v>0</v>
      </c>
      <c r="G128" s="331">
        <f>SC13EQ!F128</f>
        <v>0</v>
      </c>
      <c r="H128" s="704">
        <f>SC13EQ!G128</f>
        <v>0</v>
      </c>
      <c r="I128" s="34">
        <f t="shared" si="18"/>
        <v>0</v>
      </c>
      <c r="J128" s="572" t="str">
        <f t="shared" si="17"/>
        <v/>
      </c>
      <c r="K128" s="367">
        <f>SC13EQ!J128</f>
        <v>0</v>
      </c>
    </row>
    <row r="129" spans="1:11" ht="12.75" customHeight="1" x14ac:dyDescent="0.25">
      <c r="A129" s="606" t="s">
        <v>1122</v>
      </c>
      <c r="B129" s="90"/>
      <c r="C129" s="744">
        <f>SC13EQ!B129</f>
        <v>0</v>
      </c>
      <c r="D129" s="744">
        <f>SC13EQ!C129</f>
        <v>0</v>
      </c>
      <c r="E129" s="331">
        <f>SC13EQ!D129</f>
        <v>0</v>
      </c>
      <c r="F129" s="704">
        <f>SC13EQ!E129</f>
        <v>0</v>
      </c>
      <c r="G129" s="331">
        <f>SC13EQ!F129</f>
        <v>0</v>
      </c>
      <c r="H129" s="704">
        <f>SC13EQ!G129</f>
        <v>0</v>
      </c>
      <c r="I129" s="34">
        <f t="shared" si="18"/>
        <v>0</v>
      </c>
      <c r="J129" s="572" t="str">
        <f t="shared" si="17"/>
        <v/>
      </c>
      <c r="K129" s="367">
        <f>SC13EQ!J129</f>
        <v>0</v>
      </c>
    </row>
    <row r="130" spans="1:11" ht="12.75" customHeight="1" x14ac:dyDescent="0.25">
      <c r="A130" s="30" t="s">
        <v>659</v>
      </c>
      <c r="B130" s="90"/>
      <c r="C130" s="74">
        <f t="shared" ref="C130:H130" si="25">SUM(C131:C133)</f>
        <v>0</v>
      </c>
      <c r="D130" s="489">
        <f t="shared" si="25"/>
        <v>0</v>
      </c>
      <c r="E130" s="34">
        <f t="shared" si="25"/>
        <v>0</v>
      </c>
      <c r="F130" s="33">
        <f t="shared" si="25"/>
        <v>0</v>
      </c>
      <c r="G130" s="34">
        <f t="shared" si="25"/>
        <v>0</v>
      </c>
      <c r="H130" s="33">
        <f t="shared" si="25"/>
        <v>0</v>
      </c>
      <c r="I130" s="34">
        <f t="shared" si="18"/>
        <v>0</v>
      </c>
      <c r="J130" s="572" t="str">
        <f t="shared" si="17"/>
        <v/>
      </c>
      <c r="K130" s="35">
        <f>SUM(K131:K133)</f>
        <v>0</v>
      </c>
    </row>
    <row r="131" spans="1:11" ht="12.75" customHeight="1" x14ac:dyDescent="0.25">
      <c r="A131" s="606" t="s">
        <v>1212</v>
      </c>
      <c r="B131" s="90"/>
      <c r="C131" s="744">
        <f>SC13EQ!B131</f>
        <v>0</v>
      </c>
      <c r="D131" s="744">
        <f>SC13EQ!C131</f>
        <v>0</v>
      </c>
      <c r="E131" s="331">
        <f>SC13EQ!D131</f>
        <v>0</v>
      </c>
      <c r="F131" s="704">
        <f>SC13EQ!E131</f>
        <v>0</v>
      </c>
      <c r="G131" s="331">
        <f>SC13EQ!F131</f>
        <v>0</v>
      </c>
      <c r="H131" s="704">
        <f>SC13EQ!G131</f>
        <v>0</v>
      </c>
      <c r="I131" s="34">
        <f t="shared" si="18"/>
        <v>0</v>
      </c>
      <c r="J131" s="572" t="str">
        <f t="shared" si="17"/>
        <v/>
      </c>
      <c r="K131" s="367">
        <f>SC13EQ!J131</f>
        <v>0</v>
      </c>
    </row>
    <row r="132" spans="1:11" ht="12.75" customHeight="1" x14ac:dyDescent="0.25">
      <c r="A132" s="606" t="s">
        <v>1213</v>
      </c>
      <c r="B132" s="90"/>
      <c r="C132" s="744">
        <f>SC13EQ!B132</f>
        <v>0</v>
      </c>
      <c r="D132" s="744">
        <f>SC13EQ!C132</f>
        <v>0</v>
      </c>
      <c r="E132" s="331">
        <f>SC13EQ!D132</f>
        <v>0</v>
      </c>
      <c r="F132" s="704">
        <f>SC13EQ!E132</f>
        <v>0</v>
      </c>
      <c r="G132" s="331">
        <f>SC13EQ!F132</f>
        <v>0</v>
      </c>
      <c r="H132" s="704">
        <f>SC13EQ!G132</f>
        <v>0</v>
      </c>
      <c r="I132" s="34">
        <f t="shared" si="18"/>
        <v>0</v>
      </c>
      <c r="J132" s="572" t="str">
        <f t="shared" si="17"/>
        <v/>
      </c>
      <c r="K132" s="367">
        <f>SC13EQ!J132</f>
        <v>0</v>
      </c>
    </row>
    <row r="133" spans="1:11" ht="12.75" customHeight="1" x14ac:dyDescent="0.25">
      <c r="A133" s="606" t="s">
        <v>1122</v>
      </c>
      <c r="B133" s="90"/>
      <c r="C133" s="744">
        <f>SC13EQ!B133</f>
        <v>0</v>
      </c>
      <c r="D133" s="744">
        <f>SC13EQ!C133</f>
        <v>0</v>
      </c>
      <c r="E133" s="331">
        <f>SC13EQ!D133</f>
        <v>0</v>
      </c>
      <c r="F133" s="704">
        <f>SC13EQ!E133</f>
        <v>0</v>
      </c>
      <c r="G133" s="331">
        <f>SC13EQ!F133</f>
        <v>0</v>
      </c>
      <c r="H133" s="704">
        <f>SC13EQ!G133</f>
        <v>0</v>
      </c>
      <c r="I133" s="34">
        <f t="shared" si="18"/>
        <v>0</v>
      </c>
      <c r="J133" s="572" t="str">
        <f t="shared" si="17"/>
        <v/>
      </c>
      <c r="K133" s="367">
        <f>SC13EQ!J133</f>
        <v>0</v>
      </c>
    </row>
    <row r="134" spans="1:11" ht="5.0999999999999996" customHeight="1" x14ac:dyDescent="0.25">
      <c r="A134" s="30"/>
      <c r="B134" s="90"/>
      <c r="C134" s="74"/>
      <c r="D134" s="33"/>
      <c r="E134" s="34"/>
      <c r="F134" s="33"/>
      <c r="G134" s="34"/>
      <c r="H134" s="33"/>
      <c r="I134" s="34"/>
      <c r="J134" s="572" t="str">
        <f t="shared" si="17"/>
        <v/>
      </c>
      <c r="K134" s="35"/>
    </row>
    <row r="135" spans="1:11" ht="12.75" customHeight="1" x14ac:dyDescent="0.25">
      <c r="A135" s="29" t="s">
        <v>1214</v>
      </c>
      <c r="B135" s="90"/>
      <c r="C135" s="220">
        <f t="shared" ref="C135:H135" si="26">SUM(C136:C136)</f>
        <v>0</v>
      </c>
      <c r="D135" s="737">
        <f t="shared" si="26"/>
        <v>0</v>
      </c>
      <c r="E135" s="221">
        <f t="shared" si="26"/>
        <v>0</v>
      </c>
      <c r="F135" s="737">
        <f t="shared" si="26"/>
        <v>0</v>
      </c>
      <c r="G135" s="221">
        <f t="shared" si="26"/>
        <v>0</v>
      </c>
      <c r="H135" s="737">
        <f t="shared" si="26"/>
        <v>0</v>
      </c>
      <c r="I135" s="221">
        <f>H135-G135</f>
        <v>0</v>
      </c>
      <c r="J135" s="572" t="str">
        <f t="shared" si="17"/>
        <v/>
      </c>
      <c r="K135" s="734">
        <f>SUM(K136)</f>
        <v>0</v>
      </c>
    </row>
    <row r="136" spans="1:11" ht="12.75" customHeight="1" x14ac:dyDescent="0.25">
      <c r="A136" s="30" t="s">
        <v>1214</v>
      </c>
      <c r="B136" s="90"/>
      <c r="C136" s="744">
        <f>SC13EQ!B136</f>
        <v>0</v>
      </c>
      <c r="D136" s="744">
        <f>SC13EQ!C136</f>
        <v>0</v>
      </c>
      <c r="E136" s="331">
        <f>SC13EQ!D136</f>
        <v>0</v>
      </c>
      <c r="F136" s="704">
        <f>SC13EQ!E136</f>
        <v>0</v>
      </c>
      <c r="G136" s="331">
        <f>SC13EQ!F136</f>
        <v>0</v>
      </c>
      <c r="H136" s="704">
        <f>SC13EQ!G136</f>
        <v>0</v>
      </c>
      <c r="I136" s="221">
        <f>H136-G136</f>
        <v>0</v>
      </c>
      <c r="J136" s="572" t="str">
        <f t="shared" si="17"/>
        <v/>
      </c>
      <c r="K136" s="367">
        <f>SC13EQ!J136</f>
        <v>0</v>
      </c>
    </row>
    <row r="137" spans="1:11" ht="5.0999999999999996" customHeight="1" x14ac:dyDescent="0.25">
      <c r="A137" s="32"/>
      <c r="B137" s="90"/>
      <c r="C137" s="74"/>
      <c r="D137" s="33"/>
      <c r="E137" s="34"/>
      <c r="F137" s="33"/>
      <c r="G137" s="34"/>
      <c r="H137" s="33"/>
      <c r="I137" s="34"/>
      <c r="J137" s="572" t="str">
        <f t="shared" si="17"/>
        <v/>
      </c>
      <c r="K137" s="35"/>
    </row>
    <row r="138" spans="1:11" ht="12.75" customHeight="1" x14ac:dyDescent="0.25">
      <c r="A138" s="29" t="s">
        <v>1215</v>
      </c>
      <c r="B138" s="90"/>
      <c r="C138" s="220">
        <f t="shared" ref="C138:H138" si="27">SUM(C139:C140)</f>
        <v>0</v>
      </c>
      <c r="D138" s="737">
        <f t="shared" si="27"/>
        <v>7563800</v>
      </c>
      <c r="E138" s="221">
        <f t="shared" si="27"/>
        <v>7563800</v>
      </c>
      <c r="F138" s="737">
        <f t="shared" si="27"/>
        <v>0</v>
      </c>
      <c r="G138" s="221">
        <f t="shared" si="27"/>
        <v>0</v>
      </c>
      <c r="H138" s="737">
        <f t="shared" si="27"/>
        <v>4563800</v>
      </c>
      <c r="I138" s="221">
        <f t="shared" ref="I138:I170" si="28">H138-G138</f>
        <v>4563800</v>
      </c>
      <c r="J138" s="572">
        <f t="shared" si="17"/>
        <v>1</v>
      </c>
      <c r="K138" s="734">
        <f>SUM(K139:K140)</f>
        <v>7563800</v>
      </c>
    </row>
    <row r="139" spans="1:11" ht="12.75" customHeight="1" x14ac:dyDescent="0.25">
      <c r="A139" s="30" t="s">
        <v>1216</v>
      </c>
      <c r="B139" s="90"/>
      <c r="C139" s="744">
        <f>SC13EQ!B139</f>
        <v>0</v>
      </c>
      <c r="D139" s="744">
        <f>SC13EQ!C139</f>
        <v>0</v>
      </c>
      <c r="E139" s="331">
        <f>SC13EQ!D139</f>
        <v>0</v>
      </c>
      <c r="F139" s="704">
        <f>SC13EQ!E139</f>
        <v>0</v>
      </c>
      <c r="G139" s="331">
        <f>SC13EQ!F139</f>
        <v>0</v>
      </c>
      <c r="H139" s="704">
        <f>SC13EQ!G139</f>
        <v>0</v>
      </c>
      <c r="I139" s="221">
        <f t="shared" si="28"/>
        <v>0</v>
      </c>
      <c r="J139" s="572" t="str">
        <f t="shared" si="17"/>
        <v/>
      </c>
      <c r="K139" s="367">
        <f>SC13EQ!J139</f>
        <v>0</v>
      </c>
    </row>
    <row r="140" spans="1:11" ht="12.75" customHeight="1" x14ac:dyDescent="0.25">
      <c r="A140" s="30" t="s">
        <v>1217</v>
      </c>
      <c r="B140" s="90"/>
      <c r="C140" s="74">
        <f t="shared" ref="C140:H140" si="29">SUM(C141:C146)</f>
        <v>0</v>
      </c>
      <c r="D140" s="489">
        <f t="shared" si="29"/>
        <v>7563800</v>
      </c>
      <c r="E140" s="34">
        <f t="shared" si="29"/>
        <v>7563800</v>
      </c>
      <c r="F140" s="33">
        <f t="shared" si="29"/>
        <v>0</v>
      </c>
      <c r="G140" s="34">
        <f t="shared" si="29"/>
        <v>0</v>
      </c>
      <c r="H140" s="33">
        <f t="shared" si="29"/>
        <v>4563800</v>
      </c>
      <c r="I140" s="221">
        <f t="shared" si="28"/>
        <v>4563800</v>
      </c>
      <c r="J140" s="572">
        <f t="shared" si="17"/>
        <v>1</v>
      </c>
      <c r="K140" s="35">
        <f>SUM(K141:K146)</f>
        <v>7563800</v>
      </c>
    </row>
    <row r="141" spans="1:11" ht="12.75" customHeight="1" x14ac:dyDescent="0.25">
      <c r="A141" s="606" t="s">
        <v>1218</v>
      </c>
      <c r="B141" s="90"/>
      <c r="C141" s="744">
        <f>SC13EQ!B141</f>
        <v>0</v>
      </c>
      <c r="D141" s="744">
        <f>SC13EQ!C141</f>
        <v>0</v>
      </c>
      <c r="E141" s="331">
        <f>SC13EQ!D141</f>
        <v>0</v>
      </c>
      <c r="F141" s="704">
        <f>SC13EQ!E141</f>
        <v>0</v>
      </c>
      <c r="G141" s="331">
        <f>SC13EQ!F141</f>
        <v>0</v>
      </c>
      <c r="H141" s="704">
        <f>SC13EQ!G141</f>
        <v>0</v>
      </c>
      <c r="I141" s="221">
        <f t="shared" si="28"/>
        <v>0</v>
      </c>
      <c r="J141" s="572" t="str">
        <f t="shared" si="17"/>
        <v/>
      </c>
      <c r="K141" s="367">
        <f>SC13EQ!J141</f>
        <v>0</v>
      </c>
    </row>
    <row r="142" spans="1:11" ht="12.75" customHeight="1" x14ac:dyDescent="0.25">
      <c r="A142" s="606" t="s">
        <v>1219</v>
      </c>
      <c r="B142" s="90"/>
      <c r="C142" s="744">
        <f>SC13EQ!B142</f>
        <v>0</v>
      </c>
      <c r="D142" s="744">
        <f>SC13EQ!C142</f>
        <v>0</v>
      </c>
      <c r="E142" s="331">
        <f>SC13EQ!D142</f>
        <v>0</v>
      </c>
      <c r="F142" s="704">
        <f>SC13EQ!E142</f>
        <v>0</v>
      </c>
      <c r="G142" s="331">
        <f>SC13EQ!F142</f>
        <v>0</v>
      </c>
      <c r="H142" s="704">
        <f>SC13EQ!G142</f>
        <v>0</v>
      </c>
      <c r="I142" s="221">
        <f t="shared" si="28"/>
        <v>0</v>
      </c>
      <c r="J142" s="572" t="str">
        <f t="shared" si="17"/>
        <v/>
      </c>
      <c r="K142" s="367">
        <f>SC13EQ!J142</f>
        <v>0</v>
      </c>
    </row>
    <row r="143" spans="1:11" ht="12.75" customHeight="1" x14ac:dyDescent="0.25">
      <c r="A143" s="606" t="s">
        <v>1220</v>
      </c>
      <c r="B143" s="90"/>
      <c r="C143" s="744">
        <f>SC13EQ!B143</f>
        <v>0</v>
      </c>
      <c r="D143" s="744">
        <f>SC13EQ!C143</f>
        <v>0</v>
      </c>
      <c r="E143" s="331">
        <f>SC13EQ!D143</f>
        <v>0</v>
      </c>
      <c r="F143" s="704">
        <f>SC13EQ!E143</f>
        <v>0</v>
      </c>
      <c r="G143" s="331">
        <f>SC13EQ!F143</f>
        <v>0</v>
      </c>
      <c r="H143" s="704">
        <f>SC13EQ!G143</f>
        <v>0</v>
      </c>
      <c r="I143" s="221">
        <f t="shared" si="28"/>
        <v>0</v>
      </c>
      <c r="J143" s="572" t="str">
        <f t="shared" si="17"/>
        <v/>
      </c>
      <c r="K143" s="367">
        <f>SC13EQ!J143</f>
        <v>0</v>
      </c>
    </row>
    <row r="144" spans="1:11" ht="12.75" customHeight="1" x14ac:dyDescent="0.25">
      <c r="A144" s="606" t="s">
        <v>1221</v>
      </c>
      <c r="B144" s="90"/>
      <c r="C144" s="744">
        <f>SC13EQ!B144</f>
        <v>0</v>
      </c>
      <c r="D144" s="744">
        <f>SC13EQ!C144</f>
        <v>7563800</v>
      </c>
      <c r="E144" s="331">
        <f>SC13EQ!D144</f>
        <v>7563800</v>
      </c>
      <c r="F144" s="704">
        <f>SC13EQ!E144</f>
        <v>0</v>
      </c>
      <c r="G144" s="331">
        <f>SC13EQ!F144</f>
        <v>0</v>
      </c>
      <c r="H144" s="704">
        <f>SC13EQ!G144</f>
        <v>4563800</v>
      </c>
      <c r="I144" s="221">
        <f t="shared" si="28"/>
        <v>4563800</v>
      </c>
      <c r="J144" s="572">
        <f t="shared" si="17"/>
        <v>1</v>
      </c>
      <c r="K144" s="367">
        <f>SC13EQ!J144</f>
        <v>7563800</v>
      </c>
    </row>
    <row r="145" spans="1:11" ht="12.75" customHeight="1" x14ac:dyDescent="0.25">
      <c r="A145" s="606" t="s">
        <v>1222</v>
      </c>
      <c r="B145" s="90"/>
      <c r="C145" s="744">
        <f>SC13EQ!B145</f>
        <v>0</v>
      </c>
      <c r="D145" s="744">
        <f>SC13EQ!C145</f>
        <v>0</v>
      </c>
      <c r="E145" s="331">
        <f>SC13EQ!D145</f>
        <v>0</v>
      </c>
      <c r="F145" s="704">
        <f>SC13EQ!E145</f>
        <v>0</v>
      </c>
      <c r="G145" s="331">
        <f>SC13EQ!F145</f>
        <v>0</v>
      </c>
      <c r="H145" s="704">
        <f>SC13EQ!G145</f>
        <v>0</v>
      </c>
      <c r="I145" s="221">
        <f t="shared" si="28"/>
        <v>0</v>
      </c>
      <c r="J145" s="572" t="str">
        <f t="shared" si="17"/>
        <v/>
      </c>
      <c r="K145" s="367">
        <f>SC13EQ!J145</f>
        <v>0</v>
      </c>
    </row>
    <row r="146" spans="1:11" ht="12.75" customHeight="1" x14ac:dyDescent="0.25">
      <c r="A146" s="606" t="s">
        <v>1223</v>
      </c>
      <c r="B146" s="90"/>
      <c r="C146" s="744">
        <f>SC13EQ!B146</f>
        <v>0</v>
      </c>
      <c r="D146" s="744">
        <f>SC13EQ!C146</f>
        <v>0</v>
      </c>
      <c r="E146" s="331">
        <f>SC13EQ!D146</f>
        <v>0</v>
      </c>
      <c r="F146" s="704">
        <f>SC13EQ!E146</f>
        <v>0</v>
      </c>
      <c r="G146" s="331">
        <f>SC13EQ!F146</f>
        <v>0</v>
      </c>
      <c r="H146" s="704">
        <f>SC13EQ!G146</f>
        <v>0</v>
      </c>
      <c r="I146" s="221">
        <f t="shared" si="28"/>
        <v>0</v>
      </c>
      <c r="J146" s="572" t="str">
        <f t="shared" si="17"/>
        <v/>
      </c>
      <c r="K146" s="367">
        <f>SC13EQ!J146</f>
        <v>0</v>
      </c>
    </row>
    <row r="147" spans="1:11" ht="5.25" customHeight="1" x14ac:dyDescent="0.25">
      <c r="A147" s="32"/>
      <c r="B147" s="90"/>
      <c r="C147" s="74"/>
      <c r="D147" s="33"/>
      <c r="E147" s="34"/>
      <c r="F147" s="33"/>
      <c r="G147" s="34"/>
      <c r="H147" s="33"/>
      <c r="I147" s="221">
        <f t="shared" si="28"/>
        <v>0</v>
      </c>
      <c r="J147" s="572" t="str">
        <f t="shared" si="17"/>
        <v/>
      </c>
      <c r="K147" s="35"/>
    </row>
    <row r="148" spans="1:11" ht="12.75" customHeight="1" x14ac:dyDescent="0.25">
      <c r="A148" s="29" t="s">
        <v>1224</v>
      </c>
      <c r="B148" s="90"/>
      <c r="C148" s="220">
        <f t="shared" ref="C148:H148" si="30">SUM(C149:C149)</f>
        <v>0</v>
      </c>
      <c r="D148" s="737">
        <f t="shared" si="30"/>
        <v>0</v>
      </c>
      <c r="E148" s="221">
        <f t="shared" si="30"/>
        <v>0</v>
      </c>
      <c r="F148" s="737">
        <f t="shared" si="30"/>
        <v>0</v>
      </c>
      <c r="G148" s="221">
        <f t="shared" si="30"/>
        <v>0</v>
      </c>
      <c r="H148" s="737">
        <f t="shared" si="30"/>
        <v>0</v>
      </c>
      <c r="I148" s="221">
        <f t="shared" si="28"/>
        <v>0</v>
      </c>
      <c r="J148" s="572" t="str">
        <f t="shared" si="17"/>
        <v/>
      </c>
      <c r="K148" s="734">
        <f>SUM(K149)</f>
        <v>0</v>
      </c>
    </row>
    <row r="149" spans="1:11" ht="12.75" customHeight="1" x14ac:dyDescent="0.25">
      <c r="A149" s="30" t="s">
        <v>1224</v>
      </c>
      <c r="B149" s="90"/>
      <c r="C149" s="744">
        <f>SC13EQ!B149</f>
        <v>0</v>
      </c>
      <c r="D149" s="744">
        <f>SC13EQ!C149</f>
        <v>0</v>
      </c>
      <c r="E149" s="331">
        <f>SC13EQ!D149</f>
        <v>0</v>
      </c>
      <c r="F149" s="704">
        <f>SC13EQ!E149</f>
        <v>0</v>
      </c>
      <c r="G149" s="331">
        <f>SC13EQ!F149</f>
        <v>0</v>
      </c>
      <c r="H149" s="704">
        <f>SC13EQ!G149</f>
        <v>0</v>
      </c>
      <c r="I149" s="221">
        <f t="shared" si="28"/>
        <v>0</v>
      </c>
      <c r="J149" s="572" t="str">
        <f t="shared" si="17"/>
        <v/>
      </c>
      <c r="K149" s="367">
        <f>SC13EQ!J149</f>
        <v>0</v>
      </c>
    </row>
    <row r="150" spans="1:11" ht="5.0999999999999996" customHeight="1" x14ac:dyDescent="0.25">
      <c r="A150" s="32"/>
      <c r="B150" s="90"/>
      <c r="C150" s="74"/>
      <c r="D150" s="33"/>
      <c r="E150" s="34"/>
      <c r="F150" s="33"/>
      <c r="G150" s="34"/>
      <c r="H150" s="33"/>
      <c r="I150" s="221">
        <f t="shared" si="28"/>
        <v>0</v>
      </c>
      <c r="J150" s="572" t="str">
        <f t="shared" si="17"/>
        <v/>
      </c>
      <c r="K150" s="35"/>
    </row>
    <row r="151" spans="1:11" ht="12.75" customHeight="1" x14ac:dyDescent="0.25">
      <c r="A151" s="29" t="s">
        <v>1225</v>
      </c>
      <c r="B151" s="90"/>
      <c r="C151" s="220">
        <f t="shared" ref="C151:H151" si="31">SUM(C152:C152)</f>
        <v>0</v>
      </c>
      <c r="D151" s="737">
        <f t="shared" si="31"/>
        <v>0</v>
      </c>
      <c r="E151" s="221">
        <f t="shared" si="31"/>
        <v>0</v>
      </c>
      <c r="F151" s="737">
        <f t="shared" si="31"/>
        <v>0</v>
      </c>
      <c r="G151" s="221">
        <f t="shared" si="31"/>
        <v>0</v>
      </c>
      <c r="H151" s="737">
        <f t="shared" si="31"/>
        <v>0</v>
      </c>
      <c r="I151" s="221">
        <f t="shared" si="28"/>
        <v>0</v>
      </c>
      <c r="J151" s="572" t="str">
        <f t="shared" si="17"/>
        <v/>
      </c>
      <c r="K151" s="734">
        <f>SUM(K152)</f>
        <v>0</v>
      </c>
    </row>
    <row r="152" spans="1:11" ht="12.75" customHeight="1" x14ac:dyDescent="0.25">
      <c r="A152" s="30" t="s">
        <v>1225</v>
      </c>
      <c r="B152" s="90"/>
      <c r="C152" s="744">
        <f>SC13EQ!B152</f>
        <v>0</v>
      </c>
      <c r="D152" s="744">
        <f>SC13EQ!C152</f>
        <v>0</v>
      </c>
      <c r="E152" s="331">
        <f>SC13EQ!D152</f>
        <v>0</v>
      </c>
      <c r="F152" s="704">
        <f>SC13EQ!E152</f>
        <v>0</v>
      </c>
      <c r="G152" s="331">
        <f>SC13EQ!F152</f>
        <v>0</v>
      </c>
      <c r="H152" s="704">
        <f>SC13EQ!G152</f>
        <v>0</v>
      </c>
      <c r="I152" s="221">
        <f t="shared" si="28"/>
        <v>0</v>
      </c>
      <c r="J152" s="572" t="str">
        <f t="shared" si="17"/>
        <v/>
      </c>
      <c r="K152" s="367">
        <f>SC13EQ!J152</f>
        <v>0</v>
      </c>
    </row>
    <row r="153" spans="1:11" ht="5.0999999999999996" customHeight="1" x14ac:dyDescent="0.25">
      <c r="A153" s="32"/>
      <c r="B153" s="90"/>
      <c r="C153" s="74"/>
      <c r="D153" s="33"/>
      <c r="E153" s="34"/>
      <c r="F153" s="33"/>
      <c r="G153" s="34"/>
      <c r="H153" s="33"/>
      <c r="I153" s="221">
        <f t="shared" si="28"/>
        <v>0</v>
      </c>
      <c r="J153" s="572" t="str">
        <f t="shared" si="17"/>
        <v/>
      </c>
      <c r="K153" s="35"/>
    </row>
    <row r="154" spans="1:11" ht="12.75" customHeight="1" x14ac:dyDescent="0.25">
      <c r="A154" s="29" t="s">
        <v>1226</v>
      </c>
      <c r="B154" s="90"/>
      <c r="C154" s="220">
        <f t="shared" ref="C154:H154" si="32">SUM(C155:C155)</f>
        <v>0</v>
      </c>
      <c r="D154" s="737">
        <f t="shared" si="32"/>
        <v>0</v>
      </c>
      <c r="E154" s="221">
        <f t="shared" si="32"/>
        <v>0</v>
      </c>
      <c r="F154" s="737">
        <f t="shared" si="32"/>
        <v>0</v>
      </c>
      <c r="G154" s="221">
        <f t="shared" si="32"/>
        <v>0</v>
      </c>
      <c r="H154" s="737">
        <f t="shared" si="32"/>
        <v>0</v>
      </c>
      <c r="I154" s="221">
        <f t="shared" si="28"/>
        <v>0</v>
      </c>
      <c r="J154" s="572" t="str">
        <f t="shared" si="17"/>
        <v/>
      </c>
      <c r="K154" s="734">
        <f>SUM(K155)</f>
        <v>0</v>
      </c>
    </row>
    <row r="155" spans="1:11" ht="12.75" customHeight="1" x14ac:dyDescent="0.25">
      <c r="A155" s="30" t="s">
        <v>1226</v>
      </c>
      <c r="B155" s="90"/>
      <c r="C155" s="744">
        <f>SC13EQ!B155</f>
        <v>0</v>
      </c>
      <c r="D155" s="744">
        <f>SC13EQ!C155</f>
        <v>0</v>
      </c>
      <c r="E155" s="331">
        <f>SC13EQ!D155</f>
        <v>0</v>
      </c>
      <c r="F155" s="704">
        <f>SC13EQ!E155</f>
        <v>0</v>
      </c>
      <c r="G155" s="331">
        <f>SC13EQ!F155</f>
        <v>0</v>
      </c>
      <c r="H155" s="704">
        <f>SC13EQ!G155</f>
        <v>0</v>
      </c>
      <c r="I155" s="221">
        <f t="shared" si="28"/>
        <v>0</v>
      </c>
      <c r="J155" s="572" t="str">
        <f t="shared" si="17"/>
        <v/>
      </c>
      <c r="K155" s="367">
        <f>SC13EQ!J155</f>
        <v>0</v>
      </c>
    </row>
    <row r="156" spans="1:11" ht="5.0999999999999996" customHeight="1" x14ac:dyDescent="0.25">
      <c r="A156" s="32"/>
      <c r="B156" s="90"/>
      <c r="C156" s="74"/>
      <c r="D156" s="33"/>
      <c r="E156" s="34"/>
      <c r="F156" s="33"/>
      <c r="G156" s="34"/>
      <c r="H156" s="33"/>
      <c r="I156" s="221">
        <f t="shared" si="28"/>
        <v>0</v>
      </c>
      <c r="J156" s="572" t="str">
        <f t="shared" si="17"/>
        <v/>
      </c>
      <c r="K156" s="35"/>
    </row>
    <row r="157" spans="1:11" ht="12.75" customHeight="1" x14ac:dyDescent="0.25">
      <c r="A157" s="29" t="s">
        <v>1227</v>
      </c>
      <c r="B157" s="90"/>
      <c r="C157" s="220">
        <f t="shared" ref="C157:H157" si="33">SUM(C158:C158)</f>
        <v>0</v>
      </c>
      <c r="D157" s="737">
        <f t="shared" si="33"/>
        <v>0</v>
      </c>
      <c r="E157" s="221">
        <f t="shared" si="33"/>
        <v>0</v>
      </c>
      <c r="F157" s="737">
        <f t="shared" si="33"/>
        <v>0</v>
      </c>
      <c r="G157" s="221">
        <f t="shared" si="33"/>
        <v>0</v>
      </c>
      <c r="H157" s="737">
        <f t="shared" si="33"/>
        <v>0</v>
      </c>
      <c r="I157" s="221">
        <f t="shared" si="28"/>
        <v>0</v>
      </c>
      <c r="J157" s="572" t="str">
        <f t="shared" si="17"/>
        <v/>
      </c>
      <c r="K157" s="734">
        <f>SUM(K158)</f>
        <v>0</v>
      </c>
    </row>
    <row r="158" spans="1:11" ht="12.75" customHeight="1" x14ac:dyDescent="0.25">
      <c r="A158" s="30" t="s">
        <v>1227</v>
      </c>
      <c r="B158" s="90"/>
      <c r="C158" s="744">
        <f>SC13EQ!B158</f>
        <v>0</v>
      </c>
      <c r="D158" s="744">
        <f>SC13EQ!C158</f>
        <v>0</v>
      </c>
      <c r="E158" s="331">
        <f>SC13EQ!D158</f>
        <v>0</v>
      </c>
      <c r="F158" s="704">
        <f>SC13EQ!E158</f>
        <v>0</v>
      </c>
      <c r="G158" s="331">
        <f>SC13EQ!F158</f>
        <v>0</v>
      </c>
      <c r="H158" s="704">
        <f>SC13EQ!G158</f>
        <v>0</v>
      </c>
      <c r="I158" s="221">
        <f t="shared" si="28"/>
        <v>0</v>
      </c>
      <c r="J158" s="572" t="str">
        <f t="shared" si="17"/>
        <v/>
      </c>
      <c r="K158" s="367">
        <f>SC13EQ!J158</f>
        <v>0</v>
      </c>
    </row>
    <row r="159" spans="1:11" ht="5.0999999999999996" customHeight="1" x14ac:dyDescent="0.25">
      <c r="A159" s="32"/>
      <c r="B159" s="90"/>
      <c r="C159" s="74"/>
      <c r="D159" s="33"/>
      <c r="E159" s="34"/>
      <c r="F159" s="33"/>
      <c r="G159" s="34"/>
      <c r="H159" s="33"/>
      <c r="I159" s="221">
        <f t="shared" si="28"/>
        <v>0</v>
      </c>
      <c r="J159" s="572" t="str">
        <f t="shared" si="17"/>
        <v/>
      </c>
      <c r="K159" s="35"/>
    </row>
    <row r="160" spans="1:11" ht="12.75" customHeight="1" x14ac:dyDescent="0.25">
      <c r="A160" s="29" t="s">
        <v>1235</v>
      </c>
      <c r="B160" s="90"/>
      <c r="C160" s="220">
        <f t="shared" ref="C160:H160" si="34">SUM(C161:C161)</f>
        <v>0</v>
      </c>
      <c r="D160" s="737">
        <f t="shared" si="34"/>
        <v>0</v>
      </c>
      <c r="E160" s="221">
        <f t="shared" si="34"/>
        <v>0</v>
      </c>
      <c r="F160" s="737">
        <f t="shared" si="34"/>
        <v>0</v>
      </c>
      <c r="G160" s="221">
        <f t="shared" si="34"/>
        <v>0</v>
      </c>
      <c r="H160" s="737">
        <f t="shared" si="34"/>
        <v>0</v>
      </c>
      <c r="I160" s="221">
        <f t="shared" si="28"/>
        <v>0</v>
      </c>
      <c r="J160" s="572" t="str">
        <f t="shared" si="17"/>
        <v/>
      </c>
      <c r="K160" s="734">
        <f>SUM(K161)</f>
        <v>0</v>
      </c>
    </row>
    <row r="161" spans="1:11" ht="12.75" customHeight="1" x14ac:dyDescent="0.25">
      <c r="A161" s="30" t="s">
        <v>1235</v>
      </c>
      <c r="B161" s="90"/>
      <c r="C161" s="744">
        <f>SC13EQ!B161</f>
        <v>0</v>
      </c>
      <c r="D161" s="744">
        <f>SC13EQ!C161</f>
        <v>0</v>
      </c>
      <c r="E161" s="331">
        <f>SC13EQ!D161</f>
        <v>0</v>
      </c>
      <c r="F161" s="704">
        <f>SC13EQ!E161</f>
        <v>0</v>
      </c>
      <c r="G161" s="331">
        <f>SC13EQ!F161</f>
        <v>0</v>
      </c>
      <c r="H161" s="704">
        <f>SC13EQ!G161</f>
        <v>0</v>
      </c>
      <c r="I161" s="221">
        <f t="shared" si="28"/>
        <v>0</v>
      </c>
      <c r="J161" s="572" t="str">
        <f t="shared" si="17"/>
        <v/>
      </c>
      <c r="K161" s="367">
        <f>SC13EQ!J161</f>
        <v>0</v>
      </c>
    </row>
    <row r="162" spans="1:11" ht="5.0999999999999996" customHeight="1" x14ac:dyDescent="0.25">
      <c r="A162" s="32"/>
      <c r="B162" s="90"/>
      <c r="C162" s="74"/>
      <c r="D162" s="33"/>
      <c r="E162" s="34"/>
      <c r="F162" s="33"/>
      <c r="G162" s="34"/>
      <c r="H162" s="33"/>
      <c r="I162" s="221">
        <f t="shared" si="28"/>
        <v>0</v>
      </c>
      <c r="J162" s="572" t="str">
        <f t="shared" si="17"/>
        <v/>
      </c>
      <c r="K162" s="35"/>
    </row>
    <row r="163" spans="1:11" ht="12.75" customHeight="1" x14ac:dyDescent="0.25">
      <c r="A163" s="29" t="s">
        <v>1228</v>
      </c>
      <c r="B163" s="90"/>
      <c r="C163" s="220">
        <f t="shared" ref="C163:H163" si="35">SUM(C164:C164)</f>
        <v>0</v>
      </c>
      <c r="D163" s="737">
        <f t="shared" si="35"/>
        <v>0</v>
      </c>
      <c r="E163" s="221">
        <f t="shared" si="35"/>
        <v>0</v>
      </c>
      <c r="F163" s="737">
        <f t="shared" si="35"/>
        <v>0</v>
      </c>
      <c r="G163" s="221">
        <f t="shared" si="35"/>
        <v>0</v>
      </c>
      <c r="H163" s="737">
        <f t="shared" si="35"/>
        <v>0</v>
      </c>
      <c r="I163" s="221">
        <f t="shared" si="28"/>
        <v>0</v>
      </c>
      <c r="J163" s="572" t="str">
        <f t="shared" ref="J163:J172" si="36">IF(H163=0,"",I163/H163)</f>
        <v/>
      </c>
      <c r="K163" s="734">
        <f>SUM(K164)</f>
        <v>0</v>
      </c>
    </row>
    <row r="164" spans="1:11" ht="12.75" customHeight="1" x14ac:dyDescent="0.25">
      <c r="A164" s="30" t="s">
        <v>1228</v>
      </c>
      <c r="B164" s="90"/>
      <c r="C164" s="744">
        <f>SC13EQ!B164</f>
        <v>0</v>
      </c>
      <c r="D164" s="744">
        <f>SC13EQ!C164</f>
        <v>0</v>
      </c>
      <c r="E164" s="331">
        <f>SC13EQ!D164</f>
        <v>0</v>
      </c>
      <c r="F164" s="704">
        <f>SC13EQ!E164</f>
        <v>0</v>
      </c>
      <c r="G164" s="331">
        <f>SC13EQ!F164</f>
        <v>0</v>
      </c>
      <c r="H164" s="704">
        <f>SC13EQ!G164</f>
        <v>0</v>
      </c>
      <c r="I164" s="332">
        <f>SC13EQ!H164</f>
        <v>0</v>
      </c>
      <c r="J164" s="572" t="str">
        <f t="shared" si="36"/>
        <v/>
      </c>
      <c r="K164" s="367">
        <f>SC13EQ!J164</f>
        <v>0</v>
      </c>
    </row>
    <row r="165" spans="1:11" x14ac:dyDescent="0.25">
      <c r="A165" s="30"/>
      <c r="B165" s="90"/>
      <c r="C165" s="74"/>
      <c r="D165" s="33"/>
      <c r="E165" s="34"/>
      <c r="F165" s="33"/>
      <c r="G165" s="34"/>
      <c r="H165" s="33"/>
      <c r="I165" s="221">
        <f t="shared" si="28"/>
        <v>0</v>
      </c>
      <c r="J165" s="572" t="str">
        <f t="shared" si="36"/>
        <v/>
      </c>
      <c r="K165" s="35"/>
    </row>
    <row r="166" spans="1:11" x14ac:dyDescent="0.25">
      <c r="A166" s="616" t="s">
        <v>1342</v>
      </c>
      <c r="B166" s="90"/>
      <c r="C166" s="69">
        <f t="shared" ref="C166:H166" si="37">+C167+C170</f>
        <v>0</v>
      </c>
      <c r="D166" s="37">
        <f t="shared" si="37"/>
        <v>0</v>
      </c>
      <c r="E166" s="38">
        <f t="shared" si="37"/>
        <v>0</v>
      </c>
      <c r="F166" s="37">
        <f t="shared" si="37"/>
        <v>0</v>
      </c>
      <c r="G166" s="38">
        <f t="shared" si="37"/>
        <v>0</v>
      </c>
      <c r="H166" s="37">
        <f t="shared" si="37"/>
        <v>0</v>
      </c>
      <c r="I166" s="221">
        <f t="shared" si="28"/>
        <v>0</v>
      </c>
      <c r="J166" s="572" t="str">
        <f t="shared" si="36"/>
        <v/>
      </c>
      <c r="K166" s="717">
        <f>+K167+K170</f>
        <v>0</v>
      </c>
    </row>
    <row r="167" spans="1:11" x14ac:dyDescent="0.25">
      <c r="A167" s="612" t="s">
        <v>1343</v>
      </c>
      <c r="B167" s="90"/>
      <c r="C167" s="74">
        <f t="shared" ref="C167:H167" si="38">+C168+C169</f>
        <v>0</v>
      </c>
      <c r="D167" s="33">
        <f t="shared" si="38"/>
        <v>0</v>
      </c>
      <c r="E167" s="34">
        <f t="shared" si="38"/>
        <v>0</v>
      </c>
      <c r="F167" s="33">
        <f t="shared" si="38"/>
        <v>0</v>
      </c>
      <c r="G167" s="34">
        <f t="shared" si="38"/>
        <v>0</v>
      </c>
      <c r="H167" s="33">
        <f t="shared" si="38"/>
        <v>0</v>
      </c>
      <c r="I167" s="221">
        <f t="shared" si="28"/>
        <v>0</v>
      </c>
      <c r="J167" s="572" t="str">
        <f t="shared" si="36"/>
        <v/>
      </c>
      <c r="K167" s="35">
        <f>+K168+K169</f>
        <v>0</v>
      </c>
    </row>
    <row r="168" spans="1:11" x14ac:dyDescent="0.25">
      <c r="A168" s="617" t="s">
        <v>1344</v>
      </c>
      <c r="B168" s="90"/>
      <c r="C168" s="379"/>
      <c r="D168" s="365"/>
      <c r="E168" s="331"/>
      <c r="F168" s="704"/>
      <c r="G168" s="331"/>
      <c r="H168" s="704"/>
      <c r="I168" s="221">
        <f t="shared" si="28"/>
        <v>0</v>
      </c>
      <c r="J168" s="572" t="str">
        <f t="shared" si="36"/>
        <v/>
      </c>
      <c r="K168" s="367"/>
    </row>
    <row r="169" spans="1:11" x14ac:dyDescent="0.25">
      <c r="A169" s="617" t="s">
        <v>1345</v>
      </c>
      <c r="B169" s="90"/>
      <c r="C169" s="379"/>
      <c r="D169" s="365"/>
      <c r="E169" s="331"/>
      <c r="F169" s="704"/>
      <c r="G169" s="331"/>
      <c r="H169" s="704"/>
      <c r="I169" s="221">
        <f t="shared" si="28"/>
        <v>0</v>
      </c>
      <c r="J169" s="572" t="str">
        <f t="shared" si="36"/>
        <v/>
      </c>
      <c r="K169" s="367"/>
    </row>
    <row r="170" spans="1:11" x14ac:dyDescent="0.25">
      <c r="A170" s="612" t="s">
        <v>1346</v>
      </c>
      <c r="B170" s="90"/>
      <c r="C170" s="74">
        <f>+C171+C172</f>
        <v>0</v>
      </c>
      <c r="D170" s="33">
        <f t="shared" ref="D170:H170" si="39">+D171+D172</f>
        <v>0</v>
      </c>
      <c r="E170" s="34">
        <f t="shared" si="39"/>
        <v>0</v>
      </c>
      <c r="F170" s="33">
        <f t="shared" si="39"/>
        <v>0</v>
      </c>
      <c r="G170" s="34">
        <f t="shared" si="39"/>
        <v>0</v>
      </c>
      <c r="H170" s="33">
        <f t="shared" si="39"/>
        <v>0</v>
      </c>
      <c r="I170" s="221">
        <f t="shared" si="28"/>
        <v>0</v>
      </c>
      <c r="J170" s="572" t="str">
        <f t="shared" si="36"/>
        <v/>
      </c>
      <c r="K170" s="35">
        <f>+K171+K172</f>
        <v>0</v>
      </c>
    </row>
    <row r="171" spans="1:11" x14ac:dyDescent="0.25">
      <c r="A171" s="617" t="s">
        <v>1344</v>
      </c>
      <c r="B171" s="90"/>
      <c r="C171" s="379"/>
      <c r="D171" s="365"/>
      <c r="E171" s="331"/>
      <c r="F171" s="704"/>
      <c r="G171" s="331"/>
      <c r="H171" s="704"/>
      <c r="I171" s="34">
        <f t="shared" ref="I171:I172" si="40">H171-G171</f>
        <v>0</v>
      </c>
      <c r="J171" s="572" t="str">
        <f t="shared" si="36"/>
        <v/>
      </c>
      <c r="K171" s="367"/>
    </row>
    <row r="172" spans="1:11" x14ac:dyDescent="0.25">
      <c r="A172" s="617" t="s">
        <v>1345</v>
      </c>
      <c r="B172" s="90"/>
      <c r="C172" s="379"/>
      <c r="D172" s="365"/>
      <c r="E172" s="331"/>
      <c r="F172" s="704"/>
      <c r="G172" s="331"/>
      <c r="H172" s="704"/>
      <c r="I172" s="34">
        <f t="shared" si="40"/>
        <v>0</v>
      </c>
      <c r="J172" s="572" t="str">
        <f t="shared" si="36"/>
        <v/>
      </c>
      <c r="K172" s="367"/>
    </row>
    <row r="173" spans="1:11" x14ac:dyDescent="0.25">
      <c r="A173" s="40" t="s">
        <v>1230</v>
      </c>
      <c r="B173" s="130">
        <v>1</v>
      </c>
      <c r="C173" s="737">
        <f t="shared" ref="C173:H173" si="41">C7+C75+C103+C110+C117+C135+C138+C148+C151+C154+C157+C160+C163+C166</f>
        <v>87188734</v>
      </c>
      <c r="D173" s="737">
        <f t="shared" si="41"/>
        <v>54799800</v>
      </c>
      <c r="E173" s="737">
        <f t="shared" si="41"/>
        <v>65720200</v>
      </c>
      <c r="F173" s="737">
        <f t="shared" si="41"/>
        <v>227141.02</v>
      </c>
      <c r="G173" s="737">
        <f t="shared" si="41"/>
        <v>34875181.549999997</v>
      </c>
      <c r="H173" s="737">
        <f t="shared" si="41"/>
        <v>52322270.469999999</v>
      </c>
      <c r="I173" s="737">
        <f>H173-G173</f>
        <v>17447088.920000002</v>
      </c>
      <c r="J173" s="737">
        <f>IF(H173=0,"",I173/H173)</f>
        <v>0.33345435439395987</v>
      </c>
      <c r="K173" s="737">
        <f>K7+K75+K103+K110+K117+K135+K138+K148+K151+K154+K157+K160+K163+K166</f>
        <v>65720200</v>
      </c>
    </row>
    <row r="174" spans="1:11" ht="12.75" customHeight="1" x14ac:dyDescent="0.25">
      <c r="A174" s="43"/>
      <c r="C174" s="37"/>
      <c r="D174" s="37"/>
      <c r="E174" s="37"/>
      <c r="F174" s="37"/>
      <c r="G174" s="37"/>
      <c r="H174" s="37"/>
      <c r="I174" s="37"/>
      <c r="J174" s="609"/>
      <c r="K174" s="37"/>
    </row>
    <row r="175" spans="1:11" ht="12.75" customHeight="1" x14ac:dyDescent="0.25">
      <c r="A175" s="64" t="str">
        <f>head27a</f>
        <v>References</v>
      </c>
      <c r="C175" s="316"/>
      <c r="D175" s="316"/>
      <c r="E175" s="316"/>
      <c r="F175" s="316"/>
      <c r="G175" s="316"/>
      <c r="H175" s="316"/>
      <c r="I175" s="316"/>
      <c r="J175" s="316"/>
      <c r="K175" s="316"/>
    </row>
    <row r="176" spans="1:11" ht="12.75" customHeight="1" x14ac:dyDescent="0.25">
      <c r="A176" s="73" t="s">
        <v>1231</v>
      </c>
      <c r="C176" s="316"/>
      <c r="D176" s="316"/>
      <c r="E176" s="316"/>
      <c r="F176" s="316"/>
      <c r="G176" s="316"/>
      <c r="H176" s="316"/>
      <c r="I176" s="316"/>
      <c r="J176" s="316"/>
      <c r="K176" s="316"/>
    </row>
    <row r="177" spans="3:11" ht="11.25" customHeight="1" x14ac:dyDescent="0.25">
      <c r="C177" s="316"/>
      <c r="D177" s="316"/>
      <c r="E177" s="316"/>
      <c r="F177" s="316"/>
      <c r="G177" s="316"/>
      <c r="H177" s="316"/>
      <c r="I177" s="316"/>
      <c r="J177" s="316"/>
      <c r="K177" s="316"/>
    </row>
    <row r="178" spans="3:11" ht="11.25" customHeight="1" x14ac:dyDescent="0.25"/>
    <row r="179" spans="3:11" ht="11.25" customHeight="1" x14ac:dyDescent="0.25"/>
    <row r="180" spans="3:11" ht="11.25" customHeight="1" x14ac:dyDescent="0.25"/>
    <row r="181" spans="3:11" ht="11.25" customHeight="1" x14ac:dyDescent="0.25"/>
    <row r="182" spans="3:11" ht="11.25" customHeight="1" x14ac:dyDescent="0.25"/>
    <row r="183" spans="3:11" ht="11.25" customHeight="1" x14ac:dyDescent="0.25"/>
    <row r="184" spans="3:11" ht="11.25" customHeight="1" x14ac:dyDescent="0.25"/>
    <row r="185" spans="3:11" ht="11.25" customHeight="1" x14ac:dyDescent="0.25"/>
    <row r="186" spans="3:11" ht="11.25" customHeight="1" x14ac:dyDescent="0.25"/>
    <row r="187" spans="3:11" ht="11.25" customHeight="1" x14ac:dyDescent="0.25"/>
    <row r="188" spans="3:11" ht="11.25" customHeight="1" x14ac:dyDescent="0.25"/>
    <row r="189" spans="3:11" ht="11.25" customHeight="1" x14ac:dyDescent="0.25"/>
    <row r="190" spans="3:11" ht="11.25" customHeight="1" x14ac:dyDescent="0.25"/>
    <row r="191" spans="3:11" ht="11.25" customHeight="1" x14ac:dyDescent="0.25"/>
    <row r="192" spans="3: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sheetData>
  <mergeCells count="3">
    <mergeCell ref="A1:K1"/>
    <mergeCell ref="A2:A3"/>
    <mergeCell ref="B2:B3"/>
  </mergeCells>
  <pageMargins left="1.3385826771653544" right="0.74803149606299213" top="0.98425196850393704" bottom="0.98425196850393704" header="0.51181102362204722" footer="0.51181102362204722"/>
  <pageSetup paperSize="8" scale="95" orientation="portrait" r:id="rId1"/>
  <headerFooter alignWithMargins="0">
    <oddFooter>&amp;L&amp;F&amp;C&amp;A&amp;R&amp;D</oddFooter>
  </headerFooter>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165"/>
  <sheetViews>
    <sheetView topLeftCell="A133" workbookViewId="0">
      <selection activeCell="B165" sqref="B165"/>
    </sheetView>
  </sheetViews>
  <sheetFormatPr defaultRowHeight="12.75" x14ac:dyDescent="0.2"/>
  <cols>
    <col min="1" max="1" width="53.42578125" bestFit="1" customWidth="1"/>
    <col min="2" max="2" width="15" bestFit="1" customWidth="1"/>
    <col min="3" max="3" width="13.5703125" bestFit="1" customWidth="1"/>
    <col min="4" max="4" width="14.28515625" bestFit="1" customWidth="1"/>
    <col min="5" max="5" width="13.7109375" bestFit="1" customWidth="1"/>
    <col min="6" max="6" width="17.85546875" bestFit="1" customWidth="1"/>
    <col min="7" max="7" width="17.7109375" bestFit="1" customWidth="1"/>
    <col min="8" max="8" width="12.42578125" bestFit="1" customWidth="1"/>
    <col min="9" max="9" width="19.7109375" bestFit="1" customWidth="1"/>
    <col min="10" max="10" width="16" bestFit="1" customWidth="1"/>
  </cols>
  <sheetData>
    <row r="1" spans="1:10" x14ac:dyDescent="0.2">
      <c r="A1" s="756" t="s">
        <v>973</v>
      </c>
      <c r="B1" s="660" t="s">
        <v>471</v>
      </c>
      <c r="C1" s="660" t="s">
        <v>558</v>
      </c>
      <c r="D1" s="660" t="s">
        <v>773</v>
      </c>
      <c r="E1" s="660" t="s">
        <v>1545</v>
      </c>
      <c r="F1" s="660" t="s">
        <v>1546</v>
      </c>
      <c r="G1" s="660" t="s">
        <v>1547</v>
      </c>
      <c r="H1" s="660" t="s">
        <v>1548</v>
      </c>
      <c r="I1" s="660" t="s">
        <v>1549</v>
      </c>
      <c r="J1" s="660" t="s">
        <v>774</v>
      </c>
    </row>
    <row r="2" spans="1:10" x14ac:dyDescent="0.2">
      <c r="A2" s="659" t="s">
        <v>2062</v>
      </c>
      <c r="B2" s="661" t="s">
        <v>973</v>
      </c>
      <c r="C2" s="661" t="s">
        <v>973</v>
      </c>
      <c r="D2" s="661" t="s">
        <v>973</v>
      </c>
      <c r="E2" s="661" t="s">
        <v>973</v>
      </c>
      <c r="F2" s="661" t="s">
        <v>973</v>
      </c>
      <c r="G2" s="661" t="s">
        <v>973</v>
      </c>
      <c r="H2" s="661" t="s">
        <v>973</v>
      </c>
      <c r="I2" s="661" t="s">
        <v>528</v>
      </c>
      <c r="J2" s="661" t="s">
        <v>973</v>
      </c>
    </row>
    <row r="3" spans="1:10" x14ac:dyDescent="0.2">
      <c r="A3" s="638" t="s">
        <v>2063</v>
      </c>
      <c r="B3" s="637"/>
      <c r="C3" s="637"/>
      <c r="D3" s="637"/>
      <c r="E3" s="637"/>
      <c r="F3" s="637"/>
      <c r="G3" s="637"/>
      <c r="H3" s="637"/>
      <c r="I3" s="637"/>
      <c r="J3" s="637"/>
    </row>
    <row r="4" spans="1:10" x14ac:dyDescent="0.2">
      <c r="A4" s="639" t="s">
        <v>592</v>
      </c>
      <c r="B4" s="637">
        <v>42212708.719999999</v>
      </c>
      <c r="C4" s="637">
        <v>18586000</v>
      </c>
      <c r="D4" s="637">
        <v>27106100</v>
      </c>
      <c r="E4" s="637">
        <v>-0.98</v>
      </c>
      <c r="F4" s="637">
        <v>22227323.5</v>
      </c>
      <c r="G4" s="637">
        <v>21580537.640000001</v>
      </c>
      <c r="H4" s="637">
        <v>-646785.86</v>
      </c>
      <c r="I4" s="637">
        <v>-141.77205134199099</v>
      </c>
      <c r="J4" s="637">
        <v>27106100</v>
      </c>
    </row>
    <row r="5" spans="1:10" x14ac:dyDescent="0.2">
      <c r="A5" s="640" t="s">
        <v>1119</v>
      </c>
      <c r="B5" s="637">
        <v>-82228.45</v>
      </c>
      <c r="C5" s="637"/>
      <c r="D5" s="637">
        <v>5000000</v>
      </c>
      <c r="E5" s="637"/>
      <c r="F5" s="637">
        <v>5255994</v>
      </c>
      <c r="G5" s="637">
        <v>2500000</v>
      </c>
      <c r="H5" s="637">
        <v>-2755994</v>
      </c>
      <c r="I5" s="637">
        <v>-110.23976</v>
      </c>
      <c r="J5" s="637">
        <v>5000000</v>
      </c>
    </row>
    <row r="6" spans="1:10" x14ac:dyDescent="0.2">
      <c r="A6" s="641" t="s">
        <v>150</v>
      </c>
      <c r="B6" s="637">
        <v>-82228.45</v>
      </c>
      <c r="C6" s="637"/>
      <c r="D6" s="637">
        <v>5000000</v>
      </c>
      <c r="E6" s="637"/>
      <c r="F6" s="637">
        <v>5255994</v>
      </c>
      <c r="G6" s="637">
        <v>2500000</v>
      </c>
      <c r="H6" s="637">
        <v>-2755994</v>
      </c>
      <c r="I6" s="637">
        <v>-110.23976</v>
      </c>
      <c r="J6" s="637">
        <v>5000000</v>
      </c>
    </row>
    <row r="7" spans="1:10" x14ac:dyDescent="0.2">
      <c r="A7" s="641" t="s">
        <v>1120</v>
      </c>
      <c r="B7" s="637"/>
      <c r="C7" s="637"/>
      <c r="D7" s="637"/>
      <c r="E7" s="637"/>
      <c r="F7" s="637"/>
      <c r="G7" s="637"/>
      <c r="H7" s="637"/>
      <c r="I7" s="637"/>
      <c r="J7" s="637"/>
    </row>
    <row r="8" spans="1:10" x14ac:dyDescent="0.2">
      <c r="A8" s="641" t="s">
        <v>1121</v>
      </c>
      <c r="B8" s="637"/>
      <c r="C8" s="637"/>
      <c r="D8" s="637"/>
      <c r="E8" s="637"/>
      <c r="F8" s="637"/>
      <c r="G8" s="637"/>
      <c r="H8" s="637"/>
      <c r="I8" s="637"/>
      <c r="J8" s="637"/>
    </row>
    <row r="9" spans="1:10" x14ac:dyDescent="0.2">
      <c r="A9" s="641" t="s">
        <v>1122</v>
      </c>
      <c r="B9" s="637"/>
      <c r="C9" s="637"/>
      <c r="D9" s="637"/>
      <c r="E9" s="637"/>
      <c r="F9" s="637"/>
      <c r="G9" s="637"/>
      <c r="H9" s="637"/>
      <c r="I9" s="637"/>
      <c r="J9" s="637"/>
    </row>
    <row r="10" spans="1:10" x14ac:dyDescent="0.2">
      <c r="A10" s="640" t="s">
        <v>1123</v>
      </c>
      <c r="B10" s="637"/>
      <c r="C10" s="637"/>
      <c r="D10" s="637"/>
      <c r="E10" s="637"/>
      <c r="F10" s="637"/>
      <c r="G10" s="637"/>
      <c r="H10" s="637"/>
      <c r="I10" s="637"/>
      <c r="J10" s="637"/>
    </row>
    <row r="11" spans="1:10" x14ac:dyDescent="0.2">
      <c r="A11" s="641" t="s">
        <v>1124</v>
      </c>
      <c r="B11" s="637"/>
      <c r="C11" s="637"/>
      <c r="D11" s="637"/>
      <c r="E11" s="637"/>
      <c r="F11" s="637"/>
      <c r="G11" s="637"/>
      <c r="H11" s="637"/>
      <c r="I11" s="637"/>
      <c r="J11" s="637"/>
    </row>
    <row r="12" spans="1:10" x14ac:dyDescent="0.2">
      <c r="A12" s="641" t="s">
        <v>1125</v>
      </c>
      <c r="B12" s="637"/>
      <c r="C12" s="637"/>
      <c r="D12" s="637"/>
      <c r="E12" s="637"/>
      <c r="F12" s="637"/>
      <c r="G12" s="637"/>
      <c r="H12" s="637"/>
      <c r="I12" s="637"/>
      <c r="J12" s="637"/>
    </row>
    <row r="13" spans="1:10" x14ac:dyDescent="0.2">
      <c r="A13" s="641" t="s">
        <v>1126</v>
      </c>
      <c r="B13" s="637"/>
      <c r="C13" s="637"/>
      <c r="D13" s="637"/>
      <c r="E13" s="637"/>
      <c r="F13" s="637"/>
      <c r="G13" s="637"/>
      <c r="H13" s="637"/>
      <c r="I13" s="637"/>
      <c r="J13" s="637"/>
    </row>
    <row r="14" spans="1:10" x14ac:dyDescent="0.2">
      <c r="A14" s="640" t="s">
        <v>1127</v>
      </c>
      <c r="B14" s="637">
        <v>0</v>
      </c>
      <c r="C14" s="637"/>
      <c r="D14" s="637"/>
      <c r="E14" s="637"/>
      <c r="F14" s="637"/>
      <c r="G14" s="637"/>
      <c r="H14" s="637"/>
      <c r="I14" s="637"/>
      <c r="J14" s="637"/>
    </row>
    <row r="15" spans="1:10" x14ac:dyDescent="0.2">
      <c r="A15" s="641" t="s">
        <v>1128</v>
      </c>
      <c r="B15" s="637"/>
      <c r="C15" s="637"/>
      <c r="D15" s="637"/>
      <c r="E15" s="637"/>
      <c r="F15" s="637"/>
      <c r="G15" s="637"/>
      <c r="H15" s="637"/>
      <c r="I15" s="637"/>
      <c r="J15" s="637"/>
    </row>
    <row r="16" spans="1:10" x14ac:dyDescent="0.2">
      <c r="A16" s="641" t="s">
        <v>1129</v>
      </c>
      <c r="B16" s="637"/>
      <c r="C16" s="637"/>
      <c r="D16" s="637"/>
      <c r="E16" s="637"/>
      <c r="F16" s="637"/>
      <c r="G16" s="637"/>
      <c r="H16" s="637"/>
      <c r="I16" s="637"/>
      <c r="J16" s="637"/>
    </row>
    <row r="17" spans="1:10" x14ac:dyDescent="0.2">
      <c r="A17" s="641" t="s">
        <v>1130</v>
      </c>
      <c r="B17" s="637"/>
      <c r="C17" s="637"/>
      <c r="D17" s="637"/>
      <c r="E17" s="637"/>
      <c r="F17" s="637"/>
      <c r="G17" s="637"/>
      <c r="H17" s="637"/>
      <c r="I17" s="637"/>
      <c r="J17" s="637"/>
    </row>
    <row r="18" spans="1:10" x14ac:dyDescent="0.2">
      <c r="A18" s="641" t="s">
        <v>1131</v>
      </c>
      <c r="B18" s="637"/>
      <c r="C18" s="637"/>
      <c r="D18" s="637"/>
      <c r="E18" s="637"/>
      <c r="F18" s="637"/>
      <c r="G18" s="637"/>
      <c r="H18" s="637"/>
      <c r="I18" s="637"/>
      <c r="J18" s="637"/>
    </row>
    <row r="19" spans="1:10" x14ac:dyDescent="0.2">
      <c r="A19" s="641" t="s">
        <v>1132</v>
      </c>
      <c r="B19" s="637"/>
      <c r="C19" s="637"/>
      <c r="D19" s="637"/>
      <c r="E19" s="637"/>
      <c r="F19" s="637"/>
      <c r="G19" s="637"/>
      <c r="H19" s="637"/>
      <c r="I19" s="637"/>
      <c r="J19" s="637"/>
    </row>
    <row r="20" spans="1:10" x14ac:dyDescent="0.2">
      <c r="A20" s="641" t="s">
        <v>1133</v>
      </c>
      <c r="B20" s="637"/>
      <c r="C20" s="637"/>
      <c r="D20" s="637"/>
      <c r="E20" s="637"/>
      <c r="F20" s="637"/>
      <c r="G20" s="637"/>
      <c r="H20" s="637"/>
      <c r="I20" s="637"/>
      <c r="J20" s="637"/>
    </row>
    <row r="21" spans="1:10" x14ac:dyDescent="0.2">
      <c r="A21" s="641" t="s">
        <v>1134</v>
      </c>
      <c r="B21" s="637">
        <v>0</v>
      </c>
      <c r="C21" s="637"/>
      <c r="D21" s="637"/>
      <c r="E21" s="637"/>
      <c r="F21" s="637"/>
      <c r="G21" s="637"/>
      <c r="H21" s="637"/>
      <c r="I21" s="637"/>
      <c r="J21" s="637"/>
    </row>
    <row r="22" spans="1:10" x14ac:dyDescent="0.2">
      <c r="A22" s="641" t="s">
        <v>1135</v>
      </c>
      <c r="B22" s="637"/>
      <c r="C22" s="637"/>
      <c r="D22" s="637"/>
      <c r="E22" s="637"/>
      <c r="F22" s="637"/>
      <c r="G22" s="637"/>
      <c r="H22" s="637"/>
      <c r="I22" s="637"/>
      <c r="J22" s="637"/>
    </row>
    <row r="23" spans="1:10" x14ac:dyDescent="0.2">
      <c r="A23" s="641" t="s">
        <v>1122</v>
      </c>
      <c r="B23" s="637"/>
      <c r="C23" s="637"/>
      <c r="D23" s="637"/>
      <c r="E23" s="637"/>
      <c r="F23" s="637"/>
      <c r="G23" s="637"/>
      <c r="H23" s="637"/>
      <c r="I23" s="637"/>
      <c r="J23" s="637"/>
    </row>
    <row r="24" spans="1:10" x14ac:dyDescent="0.2">
      <c r="A24" s="640" t="s">
        <v>1136</v>
      </c>
      <c r="B24" s="637">
        <v>27683228.059999999</v>
      </c>
      <c r="C24" s="637">
        <v>2500000</v>
      </c>
      <c r="D24" s="637">
        <v>6700000</v>
      </c>
      <c r="E24" s="637"/>
      <c r="F24" s="637">
        <v>4374485.76</v>
      </c>
      <c r="G24" s="637">
        <v>4374485.76</v>
      </c>
      <c r="H24" s="637">
        <v>0</v>
      </c>
      <c r="I24" s="637">
        <v>0</v>
      </c>
      <c r="J24" s="637">
        <v>6700000</v>
      </c>
    </row>
    <row r="25" spans="1:10" x14ac:dyDescent="0.2">
      <c r="A25" s="641" t="s">
        <v>1137</v>
      </c>
      <c r="B25" s="637"/>
      <c r="C25" s="637"/>
      <c r="D25" s="637"/>
      <c r="E25" s="637"/>
      <c r="F25" s="637"/>
      <c r="G25" s="637"/>
      <c r="H25" s="637"/>
      <c r="I25" s="637"/>
      <c r="J25" s="637"/>
    </row>
    <row r="26" spans="1:10" x14ac:dyDescent="0.2">
      <c r="A26" s="641" t="s">
        <v>1138</v>
      </c>
      <c r="B26" s="637"/>
      <c r="C26" s="637"/>
      <c r="D26" s="637"/>
      <c r="E26" s="637"/>
      <c r="F26" s="637"/>
      <c r="G26" s="637"/>
      <c r="H26" s="637"/>
      <c r="I26" s="637"/>
      <c r="J26" s="637"/>
    </row>
    <row r="27" spans="1:10" x14ac:dyDescent="0.2">
      <c r="A27" s="641" t="s">
        <v>1139</v>
      </c>
      <c r="B27" s="637"/>
      <c r="C27" s="637"/>
      <c r="D27" s="637"/>
      <c r="E27" s="637"/>
      <c r="F27" s="637"/>
      <c r="G27" s="637"/>
      <c r="H27" s="637"/>
      <c r="I27" s="637"/>
      <c r="J27" s="637"/>
    </row>
    <row r="28" spans="1:10" x14ac:dyDescent="0.2">
      <c r="A28" s="641" t="s">
        <v>1140</v>
      </c>
      <c r="B28" s="637">
        <v>5636170.9400000004</v>
      </c>
      <c r="C28" s="637"/>
      <c r="D28" s="637"/>
      <c r="E28" s="637"/>
      <c r="F28" s="637"/>
      <c r="G28" s="637"/>
      <c r="H28" s="637"/>
      <c r="I28" s="637"/>
      <c r="J28" s="637"/>
    </row>
    <row r="29" spans="1:10" x14ac:dyDescent="0.2">
      <c r="A29" s="641" t="s">
        <v>1141</v>
      </c>
      <c r="B29" s="637">
        <v>13456885.550000001</v>
      </c>
      <c r="C29" s="637">
        <v>1000000</v>
      </c>
      <c r="D29" s="637">
        <v>1000000</v>
      </c>
      <c r="E29" s="637"/>
      <c r="F29" s="637"/>
      <c r="G29" s="637"/>
      <c r="H29" s="637"/>
      <c r="I29" s="637"/>
      <c r="J29" s="637">
        <v>1000000</v>
      </c>
    </row>
    <row r="30" spans="1:10" x14ac:dyDescent="0.2">
      <c r="A30" s="641" t="s">
        <v>1142</v>
      </c>
      <c r="B30" s="637"/>
      <c r="C30" s="637"/>
      <c r="D30" s="637"/>
      <c r="E30" s="637"/>
      <c r="F30" s="637"/>
      <c r="G30" s="637"/>
      <c r="H30" s="637"/>
      <c r="I30" s="637"/>
      <c r="J30" s="637"/>
    </row>
    <row r="31" spans="1:10" x14ac:dyDescent="0.2">
      <c r="A31" s="641" t="s">
        <v>1143</v>
      </c>
      <c r="B31" s="637">
        <v>8590171.5700000003</v>
      </c>
      <c r="C31" s="637">
        <v>1500000</v>
      </c>
      <c r="D31" s="637">
        <v>5700000</v>
      </c>
      <c r="E31" s="637"/>
      <c r="F31" s="637">
        <v>4374485.76</v>
      </c>
      <c r="G31" s="637">
        <v>4374485.76</v>
      </c>
      <c r="H31" s="637">
        <v>0</v>
      </c>
      <c r="I31" s="637">
        <v>0</v>
      </c>
      <c r="J31" s="637">
        <v>5700000</v>
      </c>
    </row>
    <row r="32" spans="1:10" x14ac:dyDescent="0.2">
      <c r="A32" s="641" t="s">
        <v>1144</v>
      </c>
      <c r="B32" s="637"/>
      <c r="C32" s="637"/>
      <c r="D32" s="637"/>
      <c r="E32" s="637"/>
      <c r="F32" s="637"/>
      <c r="G32" s="637"/>
      <c r="H32" s="637"/>
      <c r="I32" s="637"/>
      <c r="J32" s="637"/>
    </row>
    <row r="33" spans="1:10" x14ac:dyDescent="0.2">
      <c r="A33" s="641" t="s">
        <v>1145</v>
      </c>
      <c r="B33" s="637"/>
      <c r="C33" s="637"/>
      <c r="D33" s="637"/>
      <c r="E33" s="637"/>
      <c r="F33" s="637"/>
      <c r="G33" s="637"/>
      <c r="H33" s="637"/>
      <c r="I33" s="637"/>
      <c r="J33" s="637"/>
    </row>
    <row r="34" spans="1:10" x14ac:dyDescent="0.2">
      <c r="A34" s="641" t="s">
        <v>1122</v>
      </c>
      <c r="B34" s="637"/>
      <c r="C34" s="637"/>
      <c r="D34" s="637"/>
      <c r="E34" s="637"/>
      <c r="F34" s="637"/>
      <c r="G34" s="637"/>
      <c r="H34" s="637"/>
      <c r="I34" s="637"/>
      <c r="J34" s="637"/>
    </row>
    <row r="35" spans="1:10" x14ac:dyDescent="0.2">
      <c r="A35" s="640" t="s">
        <v>1146</v>
      </c>
      <c r="B35" s="637">
        <v>12598675.34</v>
      </c>
      <c r="C35" s="637">
        <v>2000000</v>
      </c>
      <c r="D35" s="637">
        <v>1900100</v>
      </c>
      <c r="E35" s="637"/>
      <c r="F35" s="637">
        <v>1900051.88</v>
      </c>
      <c r="G35" s="637">
        <v>1900051.88</v>
      </c>
      <c r="H35" s="637">
        <v>0</v>
      </c>
      <c r="I35" s="637">
        <v>0</v>
      </c>
      <c r="J35" s="637">
        <v>1900100</v>
      </c>
    </row>
    <row r="36" spans="1:10" x14ac:dyDescent="0.2">
      <c r="A36" s="641" t="s">
        <v>1147</v>
      </c>
      <c r="B36" s="637">
        <v>-351744.1</v>
      </c>
      <c r="C36" s="637"/>
      <c r="D36" s="637"/>
      <c r="E36" s="637"/>
      <c r="F36" s="637"/>
      <c r="G36" s="637"/>
      <c r="H36" s="637"/>
      <c r="I36" s="637"/>
      <c r="J36" s="637"/>
    </row>
    <row r="37" spans="1:10" x14ac:dyDescent="0.2">
      <c r="A37" s="641" t="s">
        <v>117</v>
      </c>
      <c r="B37" s="637"/>
      <c r="C37" s="637"/>
      <c r="D37" s="637"/>
      <c r="E37" s="637"/>
      <c r="F37" s="637"/>
      <c r="G37" s="637"/>
      <c r="H37" s="637"/>
      <c r="I37" s="637"/>
      <c r="J37" s="637"/>
    </row>
    <row r="38" spans="1:10" x14ac:dyDescent="0.2">
      <c r="A38" s="641" t="s">
        <v>1148</v>
      </c>
      <c r="B38" s="637">
        <v>5583902.9199999999</v>
      </c>
      <c r="C38" s="637"/>
      <c r="D38" s="637"/>
      <c r="E38" s="637"/>
      <c r="F38" s="637"/>
      <c r="G38" s="637"/>
      <c r="H38" s="637"/>
      <c r="I38" s="637"/>
      <c r="J38" s="637"/>
    </row>
    <row r="39" spans="1:10" x14ac:dyDescent="0.2">
      <c r="A39" s="641" t="s">
        <v>1149</v>
      </c>
      <c r="B39" s="637">
        <v>7366516.5199999996</v>
      </c>
      <c r="C39" s="637">
        <v>2000000</v>
      </c>
      <c r="D39" s="637">
        <v>1900100</v>
      </c>
      <c r="E39" s="637"/>
      <c r="F39" s="637">
        <v>1900051.88</v>
      </c>
      <c r="G39" s="637">
        <v>1900051.88</v>
      </c>
      <c r="H39" s="637">
        <v>0</v>
      </c>
      <c r="I39" s="637">
        <v>0</v>
      </c>
      <c r="J39" s="637">
        <v>1900100</v>
      </c>
    </row>
    <row r="40" spans="1:10" x14ac:dyDescent="0.2">
      <c r="A40" s="641" t="s">
        <v>1150</v>
      </c>
      <c r="B40" s="637"/>
      <c r="C40" s="637"/>
      <c r="D40" s="637"/>
      <c r="E40" s="637"/>
      <c r="F40" s="637"/>
      <c r="G40" s="637"/>
      <c r="H40" s="637"/>
      <c r="I40" s="637"/>
      <c r="J40" s="637"/>
    </row>
    <row r="41" spans="1:10" x14ac:dyDescent="0.2">
      <c r="A41" s="641" t="s">
        <v>1122</v>
      </c>
      <c r="B41" s="637"/>
      <c r="C41" s="637"/>
      <c r="D41" s="637"/>
      <c r="E41" s="637"/>
      <c r="F41" s="637"/>
      <c r="G41" s="637"/>
      <c r="H41" s="637"/>
      <c r="I41" s="637"/>
      <c r="J41" s="637"/>
    </row>
    <row r="42" spans="1:10" x14ac:dyDescent="0.2">
      <c r="A42" s="640" t="s">
        <v>1151</v>
      </c>
      <c r="B42" s="637">
        <v>0</v>
      </c>
      <c r="C42" s="637">
        <v>9586000</v>
      </c>
      <c r="D42" s="637">
        <v>8886000</v>
      </c>
      <c r="E42" s="637"/>
      <c r="F42" s="637"/>
      <c r="G42" s="637">
        <v>8186000</v>
      </c>
      <c r="H42" s="637">
        <v>8186000</v>
      </c>
      <c r="I42" s="637">
        <v>100</v>
      </c>
      <c r="J42" s="637">
        <v>8886000</v>
      </c>
    </row>
    <row r="43" spans="1:10" x14ac:dyDescent="0.2">
      <c r="A43" s="641" t="s">
        <v>1152</v>
      </c>
      <c r="B43" s="637"/>
      <c r="C43" s="637"/>
      <c r="D43" s="637"/>
      <c r="E43" s="637"/>
      <c r="F43" s="637"/>
      <c r="G43" s="637"/>
      <c r="H43" s="637"/>
      <c r="I43" s="637"/>
      <c r="J43" s="637"/>
    </row>
    <row r="44" spans="1:10" x14ac:dyDescent="0.2">
      <c r="A44" s="641" t="s">
        <v>1153</v>
      </c>
      <c r="B44" s="637">
        <v>0</v>
      </c>
      <c r="C44" s="637">
        <v>9586000</v>
      </c>
      <c r="D44" s="637">
        <v>8886000</v>
      </c>
      <c r="E44" s="637"/>
      <c r="F44" s="637"/>
      <c r="G44" s="637">
        <v>8186000</v>
      </c>
      <c r="H44" s="637">
        <v>8186000</v>
      </c>
      <c r="I44" s="637">
        <v>100</v>
      </c>
      <c r="J44" s="637">
        <v>8886000</v>
      </c>
    </row>
    <row r="45" spans="1:10" x14ac:dyDescent="0.2">
      <c r="A45" s="641" t="s">
        <v>1154</v>
      </c>
      <c r="B45" s="637"/>
      <c r="C45" s="637"/>
      <c r="D45" s="637"/>
      <c r="E45" s="637"/>
      <c r="F45" s="637"/>
      <c r="G45" s="637"/>
      <c r="H45" s="637"/>
      <c r="I45" s="637"/>
      <c r="J45" s="637"/>
    </row>
    <row r="46" spans="1:10" x14ac:dyDescent="0.2">
      <c r="A46" s="641" t="s">
        <v>1155</v>
      </c>
      <c r="B46" s="637"/>
      <c r="C46" s="637"/>
      <c r="D46" s="637"/>
      <c r="E46" s="637"/>
      <c r="F46" s="637"/>
      <c r="G46" s="637"/>
      <c r="H46" s="637"/>
      <c r="I46" s="637"/>
      <c r="J46" s="637"/>
    </row>
    <row r="47" spans="1:10" x14ac:dyDescent="0.2">
      <c r="A47" s="641" t="s">
        <v>1156</v>
      </c>
      <c r="B47" s="637"/>
      <c r="C47" s="637"/>
      <c r="D47" s="637"/>
      <c r="E47" s="637"/>
      <c r="F47" s="637"/>
      <c r="G47" s="637"/>
      <c r="H47" s="637"/>
      <c r="I47" s="637"/>
      <c r="J47" s="637"/>
    </row>
    <row r="48" spans="1:10" x14ac:dyDescent="0.2">
      <c r="A48" s="641" t="s">
        <v>1157</v>
      </c>
      <c r="B48" s="637"/>
      <c r="C48" s="637"/>
      <c r="D48" s="637"/>
      <c r="E48" s="637"/>
      <c r="F48" s="637"/>
      <c r="G48" s="637"/>
      <c r="H48" s="637"/>
      <c r="I48" s="637"/>
      <c r="J48" s="637"/>
    </row>
    <row r="49" spans="1:10" x14ac:dyDescent="0.2">
      <c r="A49" s="641" t="s">
        <v>1122</v>
      </c>
      <c r="B49" s="637"/>
      <c r="C49" s="637"/>
      <c r="D49" s="637"/>
      <c r="E49" s="637"/>
      <c r="F49" s="637"/>
      <c r="G49" s="637"/>
      <c r="H49" s="637"/>
      <c r="I49" s="637"/>
      <c r="J49" s="637"/>
    </row>
    <row r="50" spans="1:10" x14ac:dyDescent="0.2">
      <c r="A50" s="640" t="s">
        <v>1158</v>
      </c>
      <c r="B50" s="637"/>
      <c r="C50" s="637"/>
      <c r="D50" s="637"/>
      <c r="E50" s="637"/>
      <c r="F50" s="637"/>
      <c r="G50" s="637"/>
      <c r="H50" s="637"/>
      <c r="I50" s="637"/>
      <c r="J50" s="637"/>
    </row>
    <row r="51" spans="1:10" x14ac:dyDescent="0.2">
      <c r="A51" s="641" t="s">
        <v>1159</v>
      </c>
      <c r="B51" s="637"/>
      <c r="C51" s="637"/>
      <c r="D51" s="637"/>
      <c r="E51" s="637"/>
      <c r="F51" s="637"/>
      <c r="G51" s="637"/>
      <c r="H51" s="637"/>
      <c r="I51" s="637"/>
      <c r="J51" s="637"/>
    </row>
    <row r="52" spans="1:10" x14ac:dyDescent="0.2">
      <c r="A52" s="641" t="s">
        <v>1160</v>
      </c>
      <c r="B52" s="637"/>
      <c r="C52" s="637"/>
      <c r="D52" s="637"/>
      <c r="E52" s="637"/>
      <c r="F52" s="637"/>
      <c r="G52" s="637"/>
      <c r="H52" s="637"/>
      <c r="I52" s="637"/>
      <c r="J52" s="637"/>
    </row>
    <row r="53" spans="1:10" x14ac:dyDescent="0.2">
      <c r="A53" s="641" t="s">
        <v>1161</v>
      </c>
      <c r="B53" s="637"/>
      <c r="C53" s="637"/>
      <c r="D53" s="637"/>
      <c r="E53" s="637"/>
      <c r="F53" s="637"/>
      <c r="G53" s="637"/>
      <c r="H53" s="637"/>
      <c r="I53" s="637"/>
      <c r="J53" s="637"/>
    </row>
    <row r="54" spans="1:10" x14ac:dyDescent="0.2">
      <c r="A54" s="641" t="s">
        <v>1124</v>
      </c>
      <c r="B54" s="637"/>
      <c r="C54" s="637"/>
      <c r="D54" s="637"/>
      <c r="E54" s="637"/>
      <c r="F54" s="637"/>
      <c r="G54" s="637"/>
      <c r="H54" s="637"/>
      <c r="I54" s="637"/>
      <c r="J54" s="637"/>
    </row>
    <row r="55" spans="1:10" x14ac:dyDescent="0.2">
      <c r="A55" s="641" t="s">
        <v>1125</v>
      </c>
      <c r="B55" s="637"/>
      <c r="C55" s="637"/>
      <c r="D55" s="637"/>
      <c r="E55" s="637"/>
      <c r="F55" s="637"/>
      <c r="G55" s="637"/>
      <c r="H55" s="637"/>
      <c r="I55" s="637"/>
      <c r="J55" s="637"/>
    </row>
    <row r="56" spans="1:10" x14ac:dyDescent="0.2">
      <c r="A56" s="641" t="s">
        <v>1126</v>
      </c>
      <c r="B56" s="637"/>
      <c r="C56" s="637"/>
      <c r="D56" s="637"/>
      <c r="E56" s="637"/>
      <c r="F56" s="637"/>
      <c r="G56" s="637"/>
      <c r="H56" s="637"/>
      <c r="I56" s="637"/>
      <c r="J56" s="637"/>
    </row>
    <row r="57" spans="1:10" x14ac:dyDescent="0.2">
      <c r="A57" s="641" t="s">
        <v>1132</v>
      </c>
      <c r="B57" s="637"/>
      <c r="C57" s="637"/>
      <c r="D57" s="637"/>
      <c r="E57" s="637"/>
      <c r="F57" s="637"/>
      <c r="G57" s="637"/>
      <c r="H57" s="637"/>
      <c r="I57" s="637"/>
      <c r="J57" s="637"/>
    </row>
    <row r="58" spans="1:10" x14ac:dyDescent="0.2">
      <c r="A58" s="641" t="s">
        <v>1135</v>
      </c>
      <c r="B58" s="637"/>
      <c r="C58" s="637"/>
      <c r="D58" s="637"/>
      <c r="E58" s="637"/>
      <c r="F58" s="637"/>
      <c r="G58" s="637"/>
      <c r="H58" s="637"/>
      <c r="I58" s="637"/>
      <c r="J58" s="637"/>
    </row>
    <row r="59" spans="1:10" x14ac:dyDescent="0.2">
      <c r="A59" s="641" t="s">
        <v>1122</v>
      </c>
      <c r="B59" s="637"/>
      <c r="C59" s="637"/>
      <c r="D59" s="637"/>
      <c r="E59" s="637"/>
      <c r="F59" s="637"/>
      <c r="G59" s="637"/>
      <c r="H59" s="637"/>
      <c r="I59" s="637"/>
      <c r="J59" s="637"/>
    </row>
    <row r="60" spans="1:10" x14ac:dyDescent="0.2">
      <c r="A60" s="640" t="s">
        <v>1162</v>
      </c>
      <c r="B60" s="637"/>
      <c r="C60" s="637"/>
      <c r="D60" s="637"/>
      <c r="E60" s="637"/>
      <c r="F60" s="637"/>
      <c r="G60" s="637"/>
      <c r="H60" s="637"/>
      <c r="I60" s="637"/>
      <c r="J60" s="637"/>
    </row>
    <row r="61" spans="1:10" x14ac:dyDescent="0.2">
      <c r="A61" s="641" t="s">
        <v>1163</v>
      </c>
      <c r="B61" s="637"/>
      <c r="C61" s="637"/>
      <c r="D61" s="637"/>
      <c r="E61" s="637"/>
      <c r="F61" s="637"/>
      <c r="G61" s="637"/>
      <c r="H61" s="637"/>
      <c r="I61" s="637"/>
      <c r="J61" s="637"/>
    </row>
    <row r="62" spans="1:10" x14ac:dyDescent="0.2">
      <c r="A62" s="641" t="s">
        <v>1164</v>
      </c>
      <c r="B62" s="637"/>
      <c r="C62" s="637"/>
      <c r="D62" s="637"/>
      <c r="E62" s="637"/>
      <c r="F62" s="637"/>
      <c r="G62" s="637"/>
      <c r="H62" s="637"/>
      <c r="I62" s="637"/>
      <c r="J62" s="637"/>
    </row>
    <row r="63" spans="1:10" x14ac:dyDescent="0.2">
      <c r="A63" s="641" t="s">
        <v>1165</v>
      </c>
      <c r="B63" s="637"/>
      <c r="C63" s="637"/>
      <c r="D63" s="637"/>
      <c r="E63" s="637"/>
      <c r="F63" s="637"/>
      <c r="G63" s="637"/>
      <c r="H63" s="637"/>
      <c r="I63" s="637"/>
      <c r="J63" s="637"/>
    </row>
    <row r="64" spans="1:10" x14ac:dyDescent="0.2">
      <c r="A64" s="641" t="s">
        <v>1166</v>
      </c>
      <c r="B64" s="637"/>
      <c r="C64" s="637"/>
      <c r="D64" s="637"/>
      <c r="E64" s="637"/>
      <c r="F64" s="637"/>
      <c r="G64" s="637"/>
      <c r="H64" s="637"/>
      <c r="I64" s="637"/>
      <c r="J64" s="637"/>
    </row>
    <row r="65" spans="1:10" x14ac:dyDescent="0.2">
      <c r="A65" s="641" t="s">
        <v>1122</v>
      </c>
      <c r="B65" s="637"/>
      <c r="C65" s="637"/>
      <c r="D65" s="637"/>
      <c r="E65" s="637"/>
      <c r="F65" s="637"/>
      <c r="G65" s="637"/>
      <c r="H65" s="637"/>
      <c r="I65" s="637"/>
      <c r="J65" s="637"/>
    </row>
    <row r="66" spans="1:10" x14ac:dyDescent="0.2">
      <c r="A66" s="640" t="s">
        <v>1167</v>
      </c>
      <c r="B66" s="637">
        <v>2013033.77</v>
      </c>
      <c r="C66" s="637">
        <v>4500000</v>
      </c>
      <c r="D66" s="637">
        <v>4620000</v>
      </c>
      <c r="E66" s="637">
        <v>-0.98</v>
      </c>
      <c r="F66" s="637">
        <v>10696791.859999999</v>
      </c>
      <c r="G66" s="637">
        <v>4620000</v>
      </c>
      <c r="H66" s="637">
        <v>-6076791.8600000003</v>
      </c>
      <c r="I66" s="637">
        <v>-131.532291341991</v>
      </c>
      <c r="J66" s="637">
        <v>4620000</v>
      </c>
    </row>
    <row r="67" spans="1:10" x14ac:dyDescent="0.2">
      <c r="A67" s="641" t="s">
        <v>1168</v>
      </c>
      <c r="B67" s="637">
        <v>2013033.77</v>
      </c>
      <c r="C67" s="637">
        <v>4500000</v>
      </c>
      <c r="D67" s="637">
        <v>4620000</v>
      </c>
      <c r="E67" s="637">
        <v>-0.98</v>
      </c>
      <c r="F67" s="637">
        <v>10696791.859999999</v>
      </c>
      <c r="G67" s="637">
        <v>4620000</v>
      </c>
      <c r="H67" s="637">
        <v>-6076791.8600000003</v>
      </c>
      <c r="I67" s="637">
        <v>-131.532291341991</v>
      </c>
      <c r="J67" s="637">
        <v>4620000</v>
      </c>
    </row>
    <row r="68" spans="1:10" x14ac:dyDescent="0.2">
      <c r="A68" s="641" t="s">
        <v>1169</v>
      </c>
      <c r="B68" s="637"/>
      <c r="C68" s="637"/>
      <c r="D68" s="637"/>
      <c r="E68" s="637"/>
      <c r="F68" s="637"/>
      <c r="G68" s="637"/>
      <c r="H68" s="637"/>
      <c r="I68" s="637"/>
      <c r="J68" s="637"/>
    </row>
    <row r="69" spans="1:10" x14ac:dyDescent="0.2">
      <c r="A69" s="641" t="s">
        <v>1170</v>
      </c>
      <c r="B69" s="637"/>
      <c r="C69" s="637"/>
      <c r="D69" s="637"/>
      <c r="E69" s="637"/>
      <c r="F69" s="637"/>
      <c r="G69" s="637"/>
      <c r="H69" s="637"/>
      <c r="I69" s="637"/>
      <c r="J69" s="637"/>
    </row>
    <row r="70" spans="1:10" x14ac:dyDescent="0.2">
      <c r="A70" s="641" t="s">
        <v>1122</v>
      </c>
      <c r="B70" s="637"/>
      <c r="C70" s="637"/>
      <c r="D70" s="637"/>
      <c r="E70" s="637"/>
      <c r="F70" s="637"/>
      <c r="G70" s="637"/>
      <c r="H70" s="637"/>
      <c r="I70" s="637"/>
      <c r="J70" s="637"/>
    </row>
    <row r="71" spans="1:10" x14ac:dyDescent="0.2">
      <c r="A71" s="639" t="s">
        <v>1191</v>
      </c>
      <c r="B71" s="637">
        <v>36731080.159999996</v>
      </c>
      <c r="C71" s="637">
        <v>21451000</v>
      </c>
      <c r="D71" s="637">
        <v>22151000</v>
      </c>
      <c r="E71" s="637">
        <v>199609</v>
      </c>
      <c r="F71" s="637">
        <v>12276355.050000001</v>
      </c>
      <c r="G71" s="637">
        <v>23458632.829999998</v>
      </c>
      <c r="H71" s="637">
        <v>11182277.779999999</v>
      </c>
      <c r="I71" s="637">
        <v>214.81526564202699</v>
      </c>
      <c r="J71" s="637">
        <v>22151000</v>
      </c>
    </row>
    <row r="72" spans="1:10" x14ac:dyDescent="0.2">
      <c r="A72" s="640" t="s">
        <v>1171</v>
      </c>
      <c r="B72" s="637">
        <v>13911078.449999999</v>
      </c>
      <c r="C72" s="637">
        <v>19201000</v>
      </c>
      <c r="D72" s="637">
        <v>19901000</v>
      </c>
      <c r="E72" s="637">
        <v>199609</v>
      </c>
      <c r="F72" s="637">
        <v>11419475.779999999</v>
      </c>
      <c r="G72" s="637">
        <v>21401753.559999999</v>
      </c>
      <c r="H72" s="637">
        <v>9982277.7799999993</v>
      </c>
      <c r="I72" s="637">
        <v>156.47445694692101</v>
      </c>
      <c r="J72" s="637">
        <v>19901000</v>
      </c>
    </row>
    <row r="73" spans="1:10" x14ac:dyDescent="0.2">
      <c r="A73" s="641" t="s">
        <v>1172</v>
      </c>
      <c r="B73" s="637">
        <v>4536230.8899999997</v>
      </c>
      <c r="C73" s="637">
        <v>4201000</v>
      </c>
      <c r="D73" s="637">
        <v>4201000</v>
      </c>
      <c r="E73" s="637"/>
      <c r="F73" s="637">
        <v>-382188.75</v>
      </c>
      <c r="G73" s="637">
        <v>2150000</v>
      </c>
      <c r="H73" s="637">
        <v>2532188.75</v>
      </c>
      <c r="I73" s="637">
        <v>117.77622093023299</v>
      </c>
      <c r="J73" s="637">
        <v>4201000</v>
      </c>
    </row>
    <row r="74" spans="1:10" x14ac:dyDescent="0.2">
      <c r="A74" s="641" t="s">
        <v>1173</v>
      </c>
      <c r="B74" s="637"/>
      <c r="C74" s="637"/>
      <c r="D74" s="637"/>
      <c r="E74" s="637"/>
      <c r="F74" s="637"/>
      <c r="G74" s="637"/>
      <c r="H74" s="637"/>
      <c r="I74" s="637"/>
      <c r="J74" s="637"/>
    </row>
    <row r="75" spans="1:10" x14ac:dyDescent="0.2">
      <c r="A75" s="641" t="s">
        <v>1174</v>
      </c>
      <c r="B75" s="637"/>
      <c r="C75" s="637"/>
      <c r="D75" s="637"/>
      <c r="E75" s="637"/>
      <c r="F75" s="637"/>
      <c r="G75" s="637"/>
      <c r="H75" s="637"/>
      <c r="I75" s="637"/>
      <c r="J75" s="637"/>
    </row>
    <row r="76" spans="1:10" x14ac:dyDescent="0.2">
      <c r="A76" s="641" t="s">
        <v>1175</v>
      </c>
      <c r="B76" s="637"/>
      <c r="C76" s="637"/>
      <c r="D76" s="637"/>
      <c r="E76" s="637"/>
      <c r="F76" s="637"/>
      <c r="G76" s="637"/>
      <c r="H76" s="637"/>
      <c r="I76" s="637"/>
      <c r="J76" s="637"/>
    </row>
    <row r="77" spans="1:10" x14ac:dyDescent="0.2">
      <c r="A77" s="641" t="s">
        <v>1176</v>
      </c>
      <c r="B77" s="637"/>
      <c r="C77" s="637"/>
      <c r="D77" s="637"/>
      <c r="E77" s="637"/>
      <c r="F77" s="637"/>
      <c r="G77" s="637"/>
      <c r="H77" s="637"/>
      <c r="I77" s="637"/>
      <c r="J77" s="637"/>
    </row>
    <row r="78" spans="1:10" x14ac:dyDescent="0.2">
      <c r="A78" s="641" t="s">
        <v>1177</v>
      </c>
      <c r="B78" s="637"/>
      <c r="C78" s="637"/>
      <c r="D78" s="637"/>
      <c r="E78" s="637"/>
      <c r="F78" s="637"/>
      <c r="G78" s="637"/>
      <c r="H78" s="637"/>
      <c r="I78" s="637"/>
      <c r="J78" s="637"/>
    </row>
    <row r="79" spans="1:10" x14ac:dyDescent="0.2">
      <c r="A79" s="641" t="s">
        <v>1178</v>
      </c>
      <c r="B79" s="637"/>
      <c r="C79" s="637"/>
      <c r="D79" s="637"/>
      <c r="E79" s="637"/>
      <c r="F79" s="637"/>
      <c r="G79" s="637"/>
      <c r="H79" s="637"/>
      <c r="I79" s="637"/>
      <c r="J79" s="637"/>
    </row>
    <row r="80" spans="1:10" x14ac:dyDescent="0.2">
      <c r="A80" s="641" t="s">
        <v>1179</v>
      </c>
      <c r="B80" s="637"/>
      <c r="C80" s="637"/>
      <c r="D80" s="637"/>
      <c r="E80" s="637"/>
      <c r="F80" s="637"/>
      <c r="G80" s="637"/>
      <c r="H80" s="637"/>
      <c r="I80" s="637"/>
      <c r="J80" s="637"/>
    </row>
    <row r="81" spans="1:10" x14ac:dyDescent="0.2">
      <c r="A81" s="641" t="s">
        <v>1055</v>
      </c>
      <c r="B81" s="637"/>
      <c r="C81" s="637"/>
      <c r="D81" s="637"/>
      <c r="E81" s="637"/>
      <c r="F81" s="637"/>
      <c r="G81" s="637"/>
      <c r="H81" s="637"/>
      <c r="I81" s="637"/>
      <c r="J81" s="637"/>
    </row>
    <row r="82" spans="1:10" x14ac:dyDescent="0.2">
      <c r="A82" s="641" t="s">
        <v>508</v>
      </c>
      <c r="B82" s="637">
        <v>0</v>
      </c>
      <c r="C82" s="637"/>
      <c r="D82" s="637"/>
      <c r="E82" s="637"/>
      <c r="F82" s="637"/>
      <c r="G82" s="637"/>
      <c r="H82" s="637"/>
      <c r="I82" s="637"/>
      <c r="J82" s="637"/>
    </row>
    <row r="83" spans="1:10" x14ac:dyDescent="0.2">
      <c r="A83" s="641" t="s">
        <v>1180</v>
      </c>
      <c r="B83" s="637"/>
      <c r="C83" s="637"/>
      <c r="D83" s="637"/>
      <c r="E83" s="637"/>
      <c r="F83" s="637">
        <v>0</v>
      </c>
      <c r="G83" s="637"/>
      <c r="H83" s="637">
        <v>0</v>
      </c>
      <c r="I83" s="637">
        <v>0</v>
      </c>
      <c r="J83" s="637"/>
    </row>
    <row r="84" spans="1:10" x14ac:dyDescent="0.2">
      <c r="A84" s="641" t="s">
        <v>148</v>
      </c>
      <c r="B84" s="637"/>
      <c r="C84" s="637"/>
      <c r="D84" s="637"/>
      <c r="E84" s="637"/>
      <c r="F84" s="637"/>
      <c r="G84" s="637"/>
      <c r="H84" s="637"/>
      <c r="I84" s="637"/>
      <c r="J84" s="637"/>
    </row>
    <row r="85" spans="1:10" x14ac:dyDescent="0.2">
      <c r="A85" s="641" t="s">
        <v>1181</v>
      </c>
      <c r="B85" s="637"/>
      <c r="C85" s="637"/>
      <c r="D85" s="637"/>
      <c r="E85" s="637"/>
      <c r="F85" s="637"/>
      <c r="G85" s="637"/>
      <c r="H85" s="637"/>
      <c r="I85" s="637"/>
      <c r="J85" s="637"/>
    </row>
    <row r="86" spans="1:10" x14ac:dyDescent="0.2">
      <c r="A86" s="641" t="s">
        <v>1182</v>
      </c>
      <c r="B86" s="637"/>
      <c r="C86" s="637"/>
      <c r="D86" s="637"/>
      <c r="E86" s="637"/>
      <c r="F86" s="637"/>
      <c r="G86" s="637"/>
      <c r="H86" s="637"/>
      <c r="I86" s="637"/>
      <c r="J86" s="637"/>
    </row>
    <row r="87" spans="1:10" x14ac:dyDescent="0.2">
      <c r="A87" s="641" t="s">
        <v>1183</v>
      </c>
      <c r="B87" s="637"/>
      <c r="C87" s="637"/>
      <c r="D87" s="637"/>
      <c r="E87" s="637"/>
      <c r="F87" s="637"/>
      <c r="G87" s="637"/>
      <c r="H87" s="637"/>
      <c r="I87" s="637"/>
      <c r="J87" s="637"/>
    </row>
    <row r="88" spans="1:10" x14ac:dyDescent="0.2">
      <c r="A88" s="641" t="s">
        <v>1184</v>
      </c>
      <c r="B88" s="637"/>
      <c r="C88" s="637"/>
      <c r="D88" s="637"/>
      <c r="E88" s="637"/>
      <c r="F88" s="637"/>
      <c r="G88" s="637"/>
      <c r="H88" s="637"/>
      <c r="I88" s="637"/>
      <c r="J88" s="637"/>
    </row>
    <row r="89" spans="1:10" x14ac:dyDescent="0.2">
      <c r="A89" s="641" t="s">
        <v>402</v>
      </c>
      <c r="B89" s="637"/>
      <c r="C89" s="637"/>
      <c r="D89" s="637"/>
      <c r="E89" s="637"/>
      <c r="F89" s="637"/>
      <c r="G89" s="637"/>
      <c r="H89" s="637"/>
      <c r="I89" s="637"/>
      <c r="J89" s="637"/>
    </row>
    <row r="90" spans="1:10" x14ac:dyDescent="0.2">
      <c r="A90" s="641" t="s">
        <v>1185</v>
      </c>
      <c r="B90" s="637"/>
      <c r="C90" s="637"/>
      <c r="D90" s="637"/>
      <c r="E90" s="637"/>
      <c r="F90" s="637"/>
      <c r="G90" s="637"/>
      <c r="H90" s="637"/>
      <c r="I90" s="637"/>
      <c r="J90" s="637"/>
    </row>
    <row r="91" spans="1:10" x14ac:dyDescent="0.2">
      <c r="A91" s="641" t="s">
        <v>401</v>
      </c>
      <c r="B91" s="637"/>
      <c r="C91" s="637"/>
      <c r="D91" s="637"/>
      <c r="E91" s="637"/>
      <c r="F91" s="637"/>
      <c r="G91" s="637"/>
      <c r="H91" s="637"/>
      <c r="I91" s="637"/>
      <c r="J91" s="637"/>
    </row>
    <row r="92" spans="1:10" x14ac:dyDescent="0.2">
      <c r="A92" s="641" t="s">
        <v>1186</v>
      </c>
      <c r="B92" s="637"/>
      <c r="C92" s="637"/>
      <c r="D92" s="637"/>
      <c r="E92" s="637"/>
      <c r="F92" s="637"/>
      <c r="G92" s="637"/>
      <c r="H92" s="637"/>
      <c r="I92" s="637"/>
      <c r="J92" s="637"/>
    </row>
    <row r="93" spans="1:10" x14ac:dyDescent="0.2">
      <c r="A93" s="641" t="s">
        <v>1187</v>
      </c>
      <c r="B93" s="637">
        <v>9374847.5600000005</v>
      </c>
      <c r="C93" s="637">
        <v>15000000</v>
      </c>
      <c r="D93" s="637">
        <v>15700000</v>
      </c>
      <c r="E93" s="637">
        <v>199609</v>
      </c>
      <c r="F93" s="637">
        <v>11801664.529999999</v>
      </c>
      <c r="G93" s="637">
        <v>19251753.559999999</v>
      </c>
      <c r="H93" s="637">
        <v>7450089.0300000003</v>
      </c>
      <c r="I93" s="637">
        <v>38.698236016688298</v>
      </c>
      <c r="J93" s="637">
        <v>15700000</v>
      </c>
    </row>
    <row r="94" spans="1:10" x14ac:dyDescent="0.2">
      <c r="A94" s="641" t="s">
        <v>1122</v>
      </c>
      <c r="B94" s="637"/>
      <c r="C94" s="637"/>
      <c r="D94" s="637"/>
      <c r="E94" s="637"/>
      <c r="F94" s="637"/>
      <c r="G94" s="637"/>
      <c r="H94" s="637"/>
      <c r="I94" s="637"/>
      <c r="J94" s="637"/>
    </row>
    <row r="95" spans="1:10" x14ac:dyDescent="0.2">
      <c r="A95" s="640" t="s">
        <v>1188</v>
      </c>
      <c r="B95" s="637">
        <v>22820001.710000001</v>
      </c>
      <c r="C95" s="637">
        <v>2250000</v>
      </c>
      <c r="D95" s="637">
        <v>2250000</v>
      </c>
      <c r="E95" s="637"/>
      <c r="F95" s="637">
        <v>856879.27</v>
      </c>
      <c r="G95" s="637">
        <v>2056879.27</v>
      </c>
      <c r="H95" s="637">
        <v>1200000</v>
      </c>
      <c r="I95" s="637">
        <v>58.340808695106404</v>
      </c>
      <c r="J95" s="637">
        <v>2250000</v>
      </c>
    </row>
    <row r="96" spans="1:10" x14ac:dyDescent="0.2">
      <c r="A96" s="641" t="s">
        <v>1189</v>
      </c>
      <c r="B96" s="637"/>
      <c r="C96" s="637"/>
      <c r="D96" s="637"/>
      <c r="E96" s="637"/>
      <c r="F96" s="637"/>
      <c r="G96" s="637"/>
      <c r="H96" s="637"/>
      <c r="I96" s="637"/>
      <c r="J96" s="637"/>
    </row>
    <row r="97" spans="1:10" x14ac:dyDescent="0.2">
      <c r="A97" s="641" t="s">
        <v>1190</v>
      </c>
      <c r="B97" s="637">
        <v>22820001.710000001</v>
      </c>
      <c r="C97" s="637">
        <v>2250000</v>
      </c>
      <c r="D97" s="637">
        <v>2250000</v>
      </c>
      <c r="E97" s="637"/>
      <c r="F97" s="637">
        <v>856879.27</v>
      </c>
      <c r="G97" s="637">
        <v>2056879.27</v>
      </c>
      <c r="H97" s="637">
        <v>1200000</v>
      </c>
      <c r="I97" s="637">
        <v>58.340808695106404</v>
      </c>
      <c r="J97" s="637">
        <v>2250000</v>
      </c>
    </row>
    <row r="98" spans="1:10" x14ac:dyDescent="0.2">
      <c r="A98" s="641" t="s">
        <v>1122</v>
      </c>
      <c r="B98" s="637"/>
      <c r="C98" s="637"/>
      <c r="D98" s="637"/>
      <c r="E98" s="637"/>
      <c r="F98" s="637"/>
      <c r="G98" s="637"/>
      <c r="H98" s="637"/>
      <c r="I98" s="637"/>
      <c r="J98" s="637"/>
    </row>
    <row r="99" spans="1:10" x14ac:dyDescent="0.2">
      <c r="A99" s="639" t="s">
        <v>618</v>
      </c>
      <c r="B99" s="637"/>
      <c r="C99" s="637"/>
      <c r="D99" s="637"/>
      <c r="E99" s="637"/>
      <c r="F99" s="637"/>
      <c r="G99" s="637"/>
      <c r="H99" s="637"/>
      <c r="I99" s="637"/>
      <c r="J99" s="637"/>
    </row>
    <row r="100" spans="1:10" x14ac:dyDescent="0.2">
      <c r="A100" s="640" t="s">
        <v>1192</v>
      </c>
      <c r="B100" s="637"/>
      <c r="C100" s="637"/>
      <c r="D100" s="637"/>
      <c r="E100" s="637"/>
      <c r="F100" s="637"/>
      <c r="G100" s="637"/>
      <c r="H100" s="637"/>
      <c r="I100" s="637"/>
      <c r="J100" s="637"/>
    </row>
    <row r="101" spans="1:10" x14ac:dyDescent="0.2">
      <c r="A101" s="641" t="s">
        <v>1192</v>
      </c>
      <c r="B101" s="637"/>
      <c r="C101" s="637"/>
      <c r="D101" s="637"/>
      <c r="E101" s="637"/>
      <c r="F101" s="637"/>
      <c r="G101" s="637"/>
      <c r="H101" s="637"/>
      <c r="I101" s="637"/>
      <c r="J101" s="637"/>
    </row>
    <row r="102" spans="1:10" x14ac:dyDescent="0.2">
      <c r="A102" s="640" t="s">
        <v>1193</v>
      </c>
      <c r="B102" s="637"/>
      <c r="C102" s="637"/>
      <c r="D102" s="637"/>
      <c r="E102" s="637"/>
      <c r="F102" s="637"/>
      <c r="G102" s="637"/>
      <c r="H102" s="637"/>
      <c r="I102" s="637"/>
      <c r="J102" s="637"/>
    </row>
    <row r="103" spans="1:10" x14ac:dyDescent="0.2">
      <c r="A103" s="641" t="s">
        <v>1193</v>
      </c>
      <c r="B103" s="637"/>
      <c r="C103" s="637"/>
      <c r="D103" s="637"/>
      <c r="E103" s="637"/>
      <c r="F103" s="637"/>
      <c r="G103" s="637"/>
      <c r="H103" s="637"/>
      <c r="I103" s="637"/>
      <c r="J103" s="637"/>
    </row>
    <row r="104" spans="1:10" x14ac:dyDescent="0.2">
      <c r="A104" s="640" t="s">
        <v>1194</v>
      </c>
      <c r="B104" s="637"/>
      <c r="C104" s="637"/>
      <c r="D104" s="637"/>
      <c r="E104" s="637"/>
      <c r="F104" s="637"/>
      <c r="G104" s="637"/>
      <c r="H104" s="637"/>
      <c r="I104" s="637"/>
      <c r="J104" s="637"/>
    </row>
    <row r="105" spans="1:10" x14ac:dyDescent="0.2">
      <c r="A105" s="641" t="s">
        <v>1194</v>
      </c>
      <c r="B105" s="637"/>
      <c r="C105" s="637"/>
      <c r="D105" s="637"/>
      <c r="E105" s="637"/>
      <c r="F105" s="637"/>
      <c r="G105" s="637"/>
      <c r="H105" s="637"/>
      <c r="I105" s="637"/>
      <c r="J105" s="637"/>
    </row>
    <row r="106" spans="1:10" x14ac:dyDescent="0.2">
      <c r="A106" s="640" t="s">
        <v>1195</v>
      </c>
      <c r="B106" s="637"/>
      <c r="C106" s="637"/>
      <c r="D106" s="637"/>
      <c r="E106" s="637"/>
      <c r="F106" s="637"/>
      <c r="G106" s="637"/>
      <c r="H106" s="637"/>
      <c r="I106" s="637"/>
      <c r="J106" s="637"/>
    </row>
    <row r="107" spans="1:10" x14ac:dyDescent="0.2">
      <c r="A107" s="641" t="s">
        <v>1195</v>
      </c>
      <c r="B107" s="637"/>
      <c r="C107" s="637"/>
      <c r="D107" s="637"/>
      <c r="E107" s="637"/>
      <c r="F107" s="637"/>
      <c r="G107" s="637"/>
      <c r="H107" s="637"/>
      <c r="I107" s="637"/>
      <c r="J107" s="637"/>
    </row>
    <row r="108" spans="1:10" x14ac:dyDescent="0.2">
      <c r="A108" s="640" t="s">
        <v>1196</v>
      </c>
      <c r="B108" s="637"/>
      <c r="C108" s="637"/>
      <c r="D108" s="637"/>
      <c r="E108" s="637"/>
      <c r="F108" s="637"/>
      <c r="G108" s="637"/>
      <c r="H108" s="637"/>
      <c r="I108" s="637"/>
      <c r="J108" s="637"/>
    </row>
    <row r="109" spans="1:10" x14ac:dyDescent="0.2">
      <c r="A109" s="641" t="s">
        <v>1196</v>
      </c>
      <c r="B109" s="637"/>
      <c r="C109" s="637"/>
      <c r="D109" s="637"/>
      <c r="E109" s="637"/>
      <c r="F109" s="637"/>
      <c r="G109" s="637"/>
      <c r="H109" s="637"/>
      <c r="I109" s="637"/>
      <c r="J109" s="637"/>
    </row>
    <row r="110" spans="1:10" x14ac:dyDescent="0.2">
      <c r="A110" s="639" t="s">
        <v>619</v>
      </c>
      <c r="B110" s="637">
        <v>10025887.15</v>
      </c>
      <c r="C110" s="637">
        <v>3999000</v>
      </c>
      <c r="D110" s="637">
        <v>3999000</v>
      </c>
      <c r="E110" s="637"/>
      <c r="F110" s="637">
        <v>343970</v>
      </c>
      <c r="G110" s="637">
        <v>1499000</v>
      </c>
      <c r="H110" s="637">
        <v>1155030</v>
      </c>
      <c r="I110" s="637">
        <v>100</v>
      </c>
      <c r="J110" s="637">
        <v>3999000</v>
      </c>
    </row>
    <row r="111" spans="1:10" x14ac:dyDescent="0.2">
      <c r="A111" s="640" t="s">
        <v>1197</v>
      </c>
      <c r="B111" s="637">
        <v>5533159.4900000002</v>
      </c>
      <c r="C111" s="637">
        <v>500000</v>
      </c>
      <c r="D111" s="637">
        <v>500000</v>
      </c>
      <c r="E111" s="637"/>
      <c r="F111" s="637">
        <v>343970</v>
      </c>
      <c r="G111" s="637"/>
      <c r="H111" s="637">
        <v>-343970</v>
      </c>
      <c r="I111" s="637">
        <v>0</v>
      </c>
      <c r="J111" s="637">
        <v>500000</v>
      </c>
    </row>
    <row r="112" spans="1:10" x14ac:dyDescent="0.2">
      <c r="A112" s="641" t="s">
        <v>1198</v>
      </c>
      <c r="B112" s="637">
        <v>5533159.4900000002</v>
      </c>
      <c r="C112" s="637">
        <v>500000</v>
      </c>
      <c r="D112" s="637">
        <v>500000</v>
      </c>
      <c r="E112" s="637"/>
      <c r="F112" s="637">
        <v>343970</v>
      </c>
      <c r="G112" s="637"/>
      <c r="H112" s="637">
        <v>-343970</v>
      </c>
      <c r="I112" s="637">
        <v>0</v>
      </c>
      <c r="J112" s="637">
        <v>500000</v>
      </c>
    </row>
    <row r="113" spans="1:10" x14ac:dyDescent="0.2">
      <c r="A113" s="641" t="s">
        <v>1199</v>
      </c>
      <c r="B113" s="637"/>
      <c r="C113" s="637"/>
      <c r="D113" s="637"/>
      <c r="E113" s="637"/>
      <c r="F113" s="637"/>
      <c r="G113" s="637"/>
      <c r="H113" s="637"/>
      <c r="I113" s="637"/>
      <c r="J113" s="637"/>
    </row>
    <row r="114" spans="1:10" x14ac:dyDescent="0.2">
      <c r="A114" s="640" t="s">
        <v>1200</v>
      </c>
      <c r="B114" s="637">
        <v>4492727.66</v>
      </c>
      <c r="C114" s="637">
        <v>3499000</v>
      </c>
      <c r="D114" s="637">
        <v>3499000</v>
      </c>
      <c r="E114" s="637"/>
      <c r="F114" s="637"/>
      <c r="G114" s="637">
        <v>1499000</v>
      </c>
      <c r="H114" s="637">
        <v>1499000</v>
      </c>
      <c r="I114" s="637">
        <v>100</v>
      </c>
      <c r="J114" s="637">
        <v>3499000</v>
      </c>
    </row>
    <row r="115" spans="1:10" x14ac:dyDescent="0.2">
      <c r="A115" s="641" t="s">
        <v>1198</v>
      </c>
      <c r="B115" s="637">
        <v>4492727.66</v>
      </c>
      <c r="C115" s="637">
        <v>3499000</v>
      </c>
      <c r="D115" s="637">
        <v>3499000</v>
      </c>
      <c r="E115" s="637"/>
      <c r="F115" s="637"/>
      <c r="G115" s="637">
        <v>1499000</v>
      </c>
      <c r="H115" s="637">
        <v>1499000</v>
      </c>
      <c r="I115" s="637">
        <v>100</v>
      </c>
      <c r="J115" s="637">
        <v>3499000</v>
      </c>
    </row>
    <row r="116" spans="1:10" x14ac:dyDescent="0.2">
      <c r="A116" s="641" t="s">
        <v>1199</v>
      </c>
      <c r="B116" s="637"/>
      <c r="C116" s="637"/>
      <c r="D116" s="637"/>
      <c r="E116" s="637"/>
      <c r="F116" s="637"/>
      <c r="G116" s="637"/>
      <c r="H116" s="637"/>
      <c r="I116" s="637"/>
      <c r="J116" s="637"/>
    </row>
    <row r="117" spans="1:10" x14ac:dyDescent="0.2">
      <c r="A117" s="639" t="s">
        <v>620</v>
      </c>
      <c r="B117" s="637">
        <v>-1780942.03</v>
      </c>
      <c r="C117" s="637">
        <v>3200000</v>
      </c>
      <c r="D117" s="637">
        <v>4900300</v>
      </c>
      <c r="E117" s="637">
        <v>27533</v>
      </c>
      <c r="F117" s="637">
        <v>27533</v>
      </c>
      <c r="G117" s="637">
        <v>1220300</v>
      </c>
      <c r="H117" s="637">
        <v>1192767</v>
      </c>
      <c r="I117" s="637">
        <v>197.54235472641301</v>
      </c>
      <c r="J117" s="637">
        <v>4900300</v>
      </c>
    </row>
    <row r="118" spans="1:10" x14ac:dyDescent="0.2">
      <c r="A118" s="640" t="s">
        <v>1201</v>
      </c>
      <c r="B118" s="637">
        <v>-1780942.03</v>
      </c>
      <c r="C118" s="637">
        <v>3200000</v>
      </c>
      <c r="D118" s="637">
        <v>4900300</v>
      </c>
      <c r="E118" s="637">
        <v>27533</v>
      </c>
      <c r="F118" s="637">
        <v>27533</v>
      </c>
      <c r="G118" s="637">
        <v>1220300</v>
      </c>
      <c r="H118" s="637">
        <v>1192767</v>
      </c>
      <c r="I118" s="637">
        <v>197.54235472641301</v>
      </c>
      <c r="J118" s="637">
        <v>4900300</v>
      </c>
    </row>
    <row r="119" spans="1:10" x14ac:dyDescent="0.2">
      <c r="A119" s="641" t="s">
        <v>1202</v>
      </c>
      <c r="B119" s="637">
        <v>-2068067.9</v>
      </c>
      <c r="C119" s="637">
        <v>3100000</v>
      </c>
      <c r="D119" s="637">
        <v>4800300</v>
      </c>
      <c r="E119" s="637">
        <v>27533</v>
      </c>
      <c r="F119" s="637">
        <v>27533</v>
      </c>
      <c r="G119" s="637">
        <v>1120300</v>
      </c>
      <c r="H119" s="637">
        <v>1092767</v>
      </c>
      <c r="I119" s="637">
        <v>97.542354726412597</v>
      </c>
      <c r="J119" s="637">
        <v>4800300</v>
      </c>
    </row>
    <row r="120" spans="1:10" x14ac:dyDescent="0.2">
      <c r="A120" s="641" t="s">
        <v>1203</v>
      </c>
      <c r="B120" s="637"/>
      <c r="C120" s="637"/>
      <c r="D120" s="637"/>
      <c r="E120" s="637"/>
      <c r="F120" s="637"/>
      <c r="G120" s="637"/>
      <c r="H120" s="637"/>
      <c r="I120" s="637"/>
      <c r="J120" s="637"/>
    </row>
    <row r="121" spans="1:10" x14ac:dyDescent="0.2">
      <c r="A121" s="641" t="s">
        <v>1204</v>
      </c>
      <c r="B121" s="637"/>
      <c r="C121" s="637"/>
      <c r="D121" s="637"/>
      <c r="E121" s="637"/>
      <c r="F121" s="637"/>
      <c r="G121" s="637"/>
      <c r="H121" s="637"/>
      <c r="I121" s="637"/>
      <c r="J121" s="637"/>
    </row>
    <row r="122" spans="1:10" x14ac:dyDescent="0.2">
      <c r="A122" s="641" t="s">
        <v>1205</v>
      </c>
      <c r="B122" s="637"/>
      <c r="C122" s="637"/>
      <c r="D122" s="637"/>
      <c r="E122" s="637"/>
      <c r="F122" s="637"/>
      <c r="G122" s="637"/>
      <c r="H122" s="637"/>
      <c r="I122" s="637"/>
      <c r="J122" s="637"/>
    </row>
    <row r="123" spans="1:10" x14ac:dyDescent="0.2">
      <c r="A123" s="641" t="s">
        <v>1206</v>
      </c>
      <c r="B123" s="637">
        <v>81175.87</v>
      </c>
      <c r="C123" s="637">
        <v>100000</v>
      </c>
      <c r="D123" s="637">
        <v>100000</v>
      </c>
      <c r="E123" s="637"/>
      <c r="F123" s="637"/>
      <c r="G123" s="637">
        <v>100000</v>
      </c>
      <c r="H123" s="637">
        <v>100000</v>
      </c>
      <c r="I123" s="637">
        <v>100</v>
      </c>
      <c r="J123" s="637">
        <v>100000</v>
      </c>
    </row>
    <row r="124" spans="1:10" x14ac:dyDescent="0.2">
      <c r="A124" s="641" t="s">
        <v>1207</v>
      </c>
      <c r="B124" s="637"/>
      <c r="C124" s="637"/>
      <c r="D124" s="637"/>
      <c r="E124" s="637"/>
      <c r="F124" s="637"/>
      <c r="G124" s="637"/>
      <c r="H124" s="637"/>
      <c r="I124" s="637"/>
      <c r="J124" s="637"/>
    </row>
    <row r="125" spans="1:10" x14ac:dyDescent="0.2">
      <c r="A125" s="641" t="s">
        <v>1208</v>
      </c>
      <c r="B125" s="637"/>
      <c r="C125" s="637"/>
      <c r="D125" s="637"/>
      <c r="E125" s="637"/>
      <c r="F125" s="637"/>
      <c r="G125" s="637"/>
      <c r="H125" s="637"/>
      <c r="I125" s="637"/>
      <c r="J125" s="637"/>
    </row>
    <row r="126" spans="1:10" x14ac:dyDescent="0.2">
      <c r="A126" s="641" t="s">
        <v>1209</v>
      </c>
      <c r="B126" s="637"/>
      <c r="C126" s="637"/>
      <c r="D126" s="637"/>
      <c r="E126" s="637"/>
      <c r="F126" s="637"/>
      <c r="G126" s="637"/>
      <c r="H126" s="637"/>
      <c r="I126" s="637"/>
      <c r="J126" s="637"/>
    </row>
    <row r="127" spans="1:10" x14ac:dyDescent="0.2">
      <c r="A127" s="641" t="s">
        <v>1210</v>
      </c>
      <c r="B127" s="637"/>
      <c r="C127" s="637"/>
      <c r="D127" s="637"/>
      <c r="E127" s="637"/>
      <c r="F127" s="637"/>
      <c r="G127" s="637"/>
      <c r="H127" s="637"/>
      <c r="I127" s="637"/>
      <c r="J127" s="637"/>
    </row>
    <row r="128" spans="1:10" x14ac:dyDescent="0.2">
      <c r="A128" s="641" t="s">
        <v>1211</v>
      </c>
      <c r="B128" s="637">
        <v>205950</v>
      </c>
      <c r="C128" s="637"/>
      <c r="D128" s="637"/>
      <c r="E128" s="637"/>
      <c r="F128" s="637"/>
      <c r="G128" s="637"/>
      <c r="H128" s="637"/>
      <c r="I128" s="637"/>
      <c r="J128" s="637"/>
    </row>
    <row r="129" spans="1:10" x14ac:dyDescent="0.2">
      <c r="A129" s="641" t="s">
        <v>1122</v>
      </c>
      <c r="B129" s="637"/>
      <c r="C129" s="637"/>
      <c r="D129" s="637"/>
      <c r="E129" s="637"/>
      <c r="F129" s="637"/>
      <c r="G129" s="637"/>
      <c r="H129" s="637"/>
      <c r="I129" s="637"/>
      <c r="J129" s="637"/>
    </row>
    <row r="130" spans="1:10" x14ac:dyDescent="0.2">
      <c r="A130" s="640" t="s">
        <v>659</v>
      </c>
      <c r="B130" s="637"/>
      <c r="C130" s="637"/>
      <c r="D130" s="637"/>
      <c r="E130" s="637"/>
      <c r="F130" s="637"/>
      <c r="G130" s="637"/>
      <c r="H130" s="637"/>
      <c r="I130" s="637"/>
      <c r="J130" s="637"/>
    </row>
    <row r="131" spans="1:10" x14ac:dyDescent="0.2">
      <c r="A131" s="641" t="s">
        <v>1212</v>
      </c>
      <c r="B131" s="637"/>
      <c r="C131" s="637"/>
      <c r="D131" s="637"/>
      <c r="E131" s="637"/>
      <c r="F131" s="637"/>
      <c r="G131" s="637"/>
      <c r="H131" s="637"/>
      <c r="I131" s="637"/>
      <c r="J131" s="637"/>
    </row>
    <row r="132" spans="1:10" x14ac:dyDescent="0.2">
      <c r="A132" s="641" t="s">
        <v>1213</v>
      </c>
      <c r="B132" s="637"/>
      <c r="C132" s="637"/>
      <c r="D132" s="637"/>
      <c r="E132" s="637"/>
      <c r="F132" s="637"/>
      <c r="G132" s="637"/>
      <c r="H132" s="637"/>
      <c r="I132" s="637"/>
      <c r="J132" s="637"/>
    </row>
    <row r="133" spans="1:10" x14ac:dyDescent="0.2">
      <c r="A133" s="641" t="s">
        <v>1122</v>
      </c>
      <c r="B133" s="637"/>
      <c r="C133" s="637"/>
      <c r="D133" s="637"/>
      <c r="E133" s="637"/>
      <c r="F133" s="637"/>
      <c r="G133" s="637"/>
      <c r="H133" s="637"/>
      <c r="I133" s="637"/>
      <c r="J133" s="637"/>
    </row>
    <row r="134" spans="1:10" x14ac:dyDescent="0.2">
      <c r="A134" s="639" t="s">
        <v>1214</v>
      </c>
      <c r="B134" s="637"/>
      <c r="C134" s="637"/>
      <c r="D134" s="637"/>
      <c r="E134" s="637"/>
      <c r="F134" s="637"/>
      <c r="G134" s="637"/>
      <c r="H134" s="637"/>
      <c r="I134" s="637"/>
      <c r="J134" s="637"/>
    </row>
    <row r="135" spans="1:10" x14ac:dyDescent="0.2">
      <c r="A135" s="640" t="s">
        <v>1214</v>
      </c>
      <c r="B135" s="637"/>
      <c r="C135" s="637"/>
      <c r="D135" s="637"/>
      <c r="E135" s="637"/>
      <c r="F135" s="637"/>
      <c r="G135" s="637"/>
      <c r="H135" s="637"/>
      <c r="I135" s="637"/>
      <c r="J135" s="637"/>
    </row>
    <row r="136" spans="1:10" x14ac:dyDescent="0.2">
      <c r="A136" s="641" t="s">
        <v>1214</v>
      </c>
      <c r="B136" s="637"/>
      <c r="C136" s="637"/>
      <c r="D136" s="637"/>
      <c r="E136" s="637"/>
      <c r="F136" s="637"/>
      <c r="G136" s="637"/>
      <c r="H136" s="637"/>
      <c r="I136" s="637"/>
      <c r="J136" s="637"/>
    </row>
    <row r="137" spans="1:10" x14ac:dyDescent="0.2">
      <c r="A137" s="639" t="s">
        <v>1215</v>
      </c>
      <c r="B137" s="637">
        <v>0</v>
      </c>
      <c r="C137" s="637">
        <v>7563800</v>
      </c>
      <c r="D137" s="637">
        <v>7563800</v>
      </c>
      <c r="E137" s="637"/>
      <c r="F137" s="637"/>
      <c r="G137" s="637">
        <v>4563800</v>
      </c>
      <c r="H137" s="637">
        <v>4563800</v>
      </c>
      <c r="I137" s="637">
        <v>100</v>
      </c>
      <c r="J137" s="637">
        <v>7563800</v>
      </c>
    </row>
    <row r="138" spans="1:10" x14ac:dyDescent="0.2">
      <c r="A138" s="640" t="s">
        <v>1216</v>
      </c>
      <c r="B138" s="637"/>
      <c r="C138" s="637"/>
      <c r="D138" s="637"/>
      <c r="E138" s="637"/>
      <c r="F138" s="637"/>
      <c r="G138" s="637"/>
      <c r="H138" s="637"/>
      <c r="I138" s="637"/>
      <c r="J138" s="637"/>
    </row>
    <row r="139" spans="1:10" x14ac:dyDescent="0.2">
      <c r="A139" s="641" t="s">
        <v>1216</v>
      </c>
      <c r="B139" s="637"/>
      <c r="C139" s="637"/>
      <c r="D139" s="637"/>
      <c r="E139" s="637"/>
      <c r="F139" s="637"/>
      <c r="G139" s="637"/>
      <c r="H139" s="637"/>
      <c r="I139" s="637"/>
      <c r="J139" s="637"/>
    </row>
    <row r="140" spans="1:10" x14ac:dyDescent="0.2">
      <c r="A140" s="640" t="s">
        <v>1217</v>
      </c>
      <c r="B140" s="637">
        <v>0</v>
      </c>
      <c r="C140" s="637">
        <v>7563800</v>
      </c>
      <c r="D140" s="637">
        <v>7563800</v>
      </c>
      <c r="E140" s="637"/>
      <c r="F140" s="637"/>
      <c r="G140" s="637">
        <v>4563800</v>
      </c>
      <c r="H140" s="637">
        <v>4563800</v>
      </c>
      <c r="I140" s="637">
        <v>100</v>
      </c>
      <c r="J140" s="637">
        <v>7563800</v>
      </c>
    </row>
    <row r="141" spans="1:10" x14ac:dyDescent="0.2">
      <c r="A141" s="641" t="s">
        <v>1218</v>
      </c>
      <c r="B141" s="637"/>
      <c r="C141" s="637"/>
      <c r="D141" s="637"/>
      <c r="E141" s="637"/>
      <c r="F141" s="637"/>
      <c r="G141" s="637"/>
      <c r="H141" s="637"/>
      <c r="I141" s="637"/>
      <c r="J141" s="637"/>
    </row>
    <row r="142" spans="1:10" x14ac:dyDescent="0.2">
      <c r="A142" s="641" t="s">
        <v>1219</v>
      </c>
      <c r="B142" s="637"/>
      <c r="C142" s="637"/>
      <c r="D142" s="637"/>
      <c r="E142" s="637"/>
      <c r="F142" s="637"/>
      <c r="G142" s="637"/>
      <c r="H142" s="637"/>
      <c r="I142" s="637"/>
      <c r="J142" s="637"/>
    </row>
    <row r="143" spans="1:10" x14ac:dyDescent="0.2">
      <c r="A143" s="641" t="s">
        <v>1220</v>
      </c>
      <c r="B143" s="637"/>
      <c r="C143" s="637"/>
      <c r="D143" s="637"/>
      <c r="E143" s="637"/>
      <c r="F143" s="637"/>
      <c r="G143" s="637"/>
      <c r="H143" s="637"/>
      <c r="I143" s="637"/>
      <c r="J143" s="637"/>
    </row>
    <row r="144" spans="1:10" x14ac:dyDescent="0.2">
      <c r="A144" s="641" t="s">
        <v>1221</v>
      </c>
      <c r="B144" s="637">
        <v>0</v>
      </c>
      <c r="C144" s="637">
        <v>7563800</v>
      </c>
      <c r="D144" s="637">
        <v>7563800</v>
      </c>
      <c r="E144" s="637"/>
      <c r="F144" s="637"/>
      <c r="G144" s="637">
        <v>4563800</v>
      </c>
      <c r="H144" s="637">
        <v>4563800</v>
      </c>
      <c r="I144" s="637">
        <v>100</v>
      </c>
      <c r="J144" s="637">
        <v>7563800</v>
      </c>
    </row>
    <row r="145" spans="1:10" x14ac:dyDescent="0.2">
      <c r="A145" s="641" t="s">
        <v>1222</v>
      </c>
      <c r="B145" s="637"/>
      <c r="C145" s="637"/>
      <c r="D145" s="637"/>
      <c r="E145" s="637"/>
      <c r="F145" s="637"/>
      <c r="G145" s="637"/>
      <c r="H145" s="637"/>
      <c r="I145" s="637"/>
      <c r="J145" s="637"/>
    </row>
    <row r="146" spans="1:10" x14ac:dyDescent="0.2">
      <c r="A146" s="641" t="s">
        <v>1223</v>
      </c>
      <c r="B146" s="637"/>
      <c r="C146" s="637"/>
      <c r="D146" s="637"/>
      <c r="E146" s="637"/>
      <c r="F146" s="637"/>
      <c r="G146" s="637"/>
      <c r="H146" s="637"/>
      <c r="I146" s="637"/>
      <c r="J146" s="637"/>
    </row>
    <row r="147" spans="1:10" x14ac:dyDescent="0.2">
      <c r="A147" s="639" t="s">
        <v>1224</v>
      </c>
      <c r="B147" s="637"/>
      <c r="C147" s="637"/>
      <c r="D147" s="637"/>
      <c r="E147" s="637"/>
      <c r="F147" s="637"/>
      <c r="G147" s="637"/>
      <c r="H147" s="637"/>
      <c r="I147" s="637"/>
      <c r="J147" s="637"/>
    </row>
    <row r="148" spans="1:10" x14ac:dyDescent="0.2">
      <c r="A148" s="640" t="s">
        <v>1224</v>
      </c>
      <c r="B148" s="637"/>
      <c r="C148" s="637"/>
      <c r="D148" s="637"/>
      <c r="E148" s="637"/>
      <c r="F148" s="637"/>
      <c r="G148" s="637"/>
      <c r="H148" s="637"/>
      <c r="I148" s="637"/>
      <c r="J148" s="637"/>
    </row>
    <row r="149" spans="1:10" x14ac:dyDescent="0.2">
      <c r="A149" s="641" t="s">
        <v>1224</v>
      </c>
      <c r="B149" s="637"/>
      <c r="C149" s="637"/>
      <c r="D149" s="637"/>
      <c r="E149" s="637"/>
      <c r="F149" s="637"/>
      <c r="G149" s="637"/>
      <c r="H149" s="637"/>
      <c r="I149" s="637"/>
      <c r="J149" s="637"/>
    </row>
    <row r="150" spans="1:10" x14ac:dyDescent="0.2">
      <c r="A150" s="639" t="s">
        <v>1225</v>
      </c>
      <c r="B150" s="637"/>
      <c r="C150" s="637"/>
      <c r="D150" s="637"/>
      <c r="E150" s="637"/>
      <c r="F150" s="637"/>
      <c r="G150" s="637"/>
      <c r="H150" s="637"/>
      <c r="I150" s="637"/>
      <c r="J150" s="637"/>
    </row>
    <row r="151" spans="1:10" x14ac:dyDescent="0.2">
      <c r="A151" s="640" t="s">
        <v>1225</v>
      </c>
      <c r="B151" s="637"/>
      <c r="C151" s="637"/>
      <c r="D151" s="637"/>
      <c r="E151" s="637"/>
      <c r="F151" s="637"/>
      <c r="G151" s="637"/>
      <c r="H151" s="637"/>
      <c r="I151" s="637"/>
      <c r="J151" s="637"/>
    </row>
    <row r="152" spans="1:10" x14ac:dyDescent="0.2">
      <c r="A152" s="641" t="s">
        <v>1225</v>
      </c>
      <c r="B152" s="637"/>
      <c r="C152" s="637"/>
      <c r="D152" s="637"/>
      <c r="E152" s="637"/>
      <c r="F152" s="637"/>
      <c r="G152" s="637"/>
      <c r="H152" s="637"/>
      <c r="I152" s="637"/>
      <c r="J152" s="637"/>
    </row>
    <row r="153" spans="1:10" x14ac:dyDescent="0.2">
      <c r="A153" s="639" t="s">
        <v>1226</v>
      </c>
      <c r="B153" s="637"/>
      <c r="C153" s="637"/>
      <c r="D153" s="637"/>
      <c r="E153" s="637"/>
      <c r="F153" s="637"/>
      <c r="G153" s="637"/>
      <c r="H153" s="637"/>
      <c r="I153" s="637"/>
      <c r="J153" s="637"/>
    </row>
    <row r="154" spans="1:10" x14ac:dyDescent="0.2">
      <c r="A154" s="640" t="s">
        <v>1226</v>
      </c>
      <c r="B154" s="637"/>
      <c r="C154" s="637"/>
      <c r="D154" s="637"/>
      <c r="E154" s="637"/>
      <c r="F154" s="637"/>
      <c r="G154" s="637"/>
      <c r="H154" s="637"/>
      <c r="I154" s="637"/>
      <c r="J154" s="637"/>
    </row>
    <row r="155" spans="1:10" x14ac:dyDescent="0.2">
      <c r="A155" s="641" t="s">
        <v>1226</v>
      </c>
      <c r="B155" s="637"/>
      <c r="C155" s="637"/>
      <c r="D155" s="637"/>
      <c r="E155" s="637"/>
      <c r="F155" s="637"/>
      <c r="G155" s="637"/>
      <c r="H155" s="637"/>
      <c r="I155" s="637"/>
      <c r="J155" s="637"/>
    </row>
    <row r="156" spans="1:10" x14ac:dyDescent="0.2">
      <c r="A156" s="639" t="s">
        <v>1227</v>
      </c>
      <c r="B156" s="637"/>
      <c r="C156" s="637"/>
      <c r="D156" s="637"/>
      <c r="E156" s="637"/>
      <c r="F156" s="637"/>
      <c r="G156" s="637"/>
      <c r="H156" s="637"/>
      <c r="I156" s="637"/>
      <c r="J156" s="637"/>
    </row>
    <row r="157" spans="1:10" x14ac:dyDescent="0.2">
      <c r="A157" s="640" t="s">
        <v>1227</v>
      </c>
      <c r="B157" s="637"/>
      <c r="C157" s="637"/>
      <c r="D157" s="637"/>
      <c r="E157" s="637"/>
      <c r="F157" s="637"/>
      <c r="G157" s="637"/>
      <c r="H157" s="637"/>
      <c r="I157" s="637"/>
      <c r="J157" s="637"/>
    </row>
    <row r="158" spans="1:10" x14ac:dyDescent="0.2">
      <c r="A158" s="641" t="s">
        <v>1227</v>
      </c>
      <c r="B158" s="637"/>
      <c r="C158" s="637"/>
      <c r="D158" s="637"/>
      <c r="E158" s="637"/>
      <c r="F158" s="637"/>
      <c r="G158" s="637"/>
      <c r="H158" s="637"/>
      <c r="I158" s="637"/>
      <c r="J158" s="637"/>
    </row>
    <row r="159" spans="1:10" x14ac:dyDescent="0.2">
      <c r="A159" s="639" t="s">
        <v>1235</v>
      </c>
      <c r="B159" s="637"/>
      <c r="C159" s="637"/>
      <c r="D159" s="637"/>
      <c r="E159" s="637"/>
      <c r="F159" s="637"/>
      <c r="G159" s="637"/>
      <c r="H159" s="637"/>
      <c r="I159" s="637"/>
      <c r="J159" s="637"/>
    </row>
    <row r="160" spans="1:10" x14ac:dyDescent="0.2">
      <c r="A160" s="640" t="s">
        <v>1235</v>
      </c>
      <c r="B160" s="637"/>
      <c r="C160" s="637"/>
      <c r="D160" s="637"/>
      <c r="E160" s="637"/>
      <c r="F160" s="637"/>
      <c r="G160" s="637"/>
      <c r="H160" s="637"/>
      <c r="I160" s="637"/>
      <c r="J160" s="637"/>
    </row>
    <row r="161" spans="1:10" x14ac:dyDescent="0.2">
      <c r="A161" s="641" t="s">
        <v>1235</v>
      </c>
      <c r="B161" s="637"/>
      <c r="C161" s="637"/>
      <c r="D161" s="637"/>
      <c r="E161" s="637"/>
      <c r="F161" s="637"/>
      <c r="G161" s="637"/>
      <c r="H161" s="637"/>
      <c r="I161" s="637"/>
      <c r="J161" s="637"/>
    </row>
    <row r="162" spans="1:10" x14ac:dyDescent="0.2">
      <c r="A162" s="639" t="s">
        <v>1228</v>
      </c>
      <c r="B162" s="637"/>
      <c r="C162" s="637"/>
      <c r="D162" s="637"/>
      <c r="E162" s="637"/>
      <c r="F162" s="637"/>
      <c r="G162" s="637"/>
      <c r="H162" s="637"/>
      <c r="I162" s="637"/>
      <c r="J162" s="637"/>
    </row>
    <row r="163" spans="1:10" x14ac:dyDescent="0.2">
      <c r="A163" s="640" t="s">
        <v>1228</v>
      </c>
      <c r="B163" s="637"/>
      <c r="C163" s="637"/>
      <c r="D163" s="637"/>
      <c r="E163" s="637"/>
      <c r="F163" s="637"/>
      <c r="G163" s="637"/>
      <c r="H163" s="637"/>
      <c r="I163" s="637"/>
      <c r="J163" s="637"/>
    </row>
    <row r="164" spans="1:10" x14ac:dyDescent="0.2">
      <c r="A164" s="641" t="s">
        <v>1228</v>
      </c>
      <c r="B164" s="637"/>
      <c r="C164" s="637"/>
      <c r="D164" s="637"/>
      <c r="E164" s="637"/>
      <c r="F164" s="637"/>
      <c r="G164" s="637"/>
      <c r="H164" s="637"/>
      <c r="I164" s="637"/>
      <c r="J164" s="637"/>
    </row>
    <row r="165" spans="1:10" x14ac:dyDescent="0.2">
      <c r="A165" s="638" t="s">
        <v>2064</v>
      </c>
      <c r="B165" s="637">
        <v>87188734</v>
      </c>
      <c r="C165" s="637">
        <v>54799800</v>
      </c>
      <c r="D165" s="637">
        <v>65720200</v>
      </c>
      <c r="E165" s="637">
        <v>227141.02</v>
      </c>
      <c r="F165" s="637">
        <v>34875181.549999997</v>
      </c>
      <c r="G165" s="637">
        <v>52322270.469999999</v>
      </c>
      <c r="H165" s="637">
        <v>17447088.920000002</v>
      </c>
      <c r="I165" s="637">
        <v>470.58556902644801</v>
      </c>
      <c r="J165" s="637">
        <v>65720200</v>
      </c>
    </row>
  </sheetData>
  <pageMargins left="0.7" right="0.7" top="0.75" bottom="0.75" header="0.3" footer="0.3"/>
  <customProperties>
    <customPr name="_pios_id" r:id="rId1"/>
    <customPr name="CofWorksheetType"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workbookViewId="0">
      <selection activeCell="D3" sqref="D3"/>
    </sheetView>
  </sheetViews>
  <sheetFormatPr defaultColWidth="24.42578125" defaultRowHeight="12.75" x14ac:dyDescent="0.2"/>
  <cols>
    <col min="1" max="1" width="32" customWidth="1"/>
    <col min="2" max="2" width="15.7109375" customWidth="1"/>
    <col min="3" max="3" width="14" customWidth="1"/>
    <col min="4" max="4" width="14.5703125" customWidth="1"/>
    <col min="5" max="5" width="13.28515625" customWidth="1"/>
    <col min="6" max="6" width="12.28515625" customWidth="1"/>
    <col min="7" max="7" width="12.5703125" customWidth="1"/>
    <col min="8" max="9" width="12.28515625" customWidth="1"/>
    <col min="10" max="10" width="15.42578125" customWidth="1"/>
    <col min="11" max="11" width="12.7109375" customWidth="1"/>
    <col min="12" max="12" width="17.7109375" customWidth="1"/>
    <col min="13" max="13" width="9.7109375" customWidth="1"/>
  </cols>
  <sheetData>
    <row r="1" spans="1:13" ht="13.5" x14ac:dyDescent="0.25">
      <c r="B1" s="676" t="s">
        <v>471</v>
      </c>
      <c r="C1" s="676" t="s">
        <v>558</v>
      </c>
      <c r="D1" s="676" t="s">
        <v>773</v>
      </c>
      <c r="E1" s="676" t="s">
        <v>695</v>
      </c>
      <c r="F1" s="676" t="s">
        <v>663</v>
      </c>
      <c r="G1" s="676" t="s">
        <v>664</v>
      </c>
      <c r="H1" s="676" t="s">
        <v>730</v>
      </c>
      <c r="I1" s="676" t="s">
        <v>730</v>
      </c>
      <c r="J1" s="676" t="s">
        <v>774</v>
      </c>
    </row>
    <row r="2" spans="1:13" ht="13.5" x14ac:dyDescent="0.25">
      <c r="A2" s="676" t="s">
        <v>1280</v>
      </c>
      <c r="B2" s="676"/>
      <c r="C2" s="676"/>
      <c r="D2" s="676"/>
      <c r="E2" s="676"/>
      <c r="F2" s="676"/>
      <c r="G2" s="676"/>
      <c r="H2" s="676"/>
      <c r="I2" s="676"/>
      <c r="J2" s="676"/>
    </row>
    <row r="3" spans="1:13" ht="13.5" x14ac:dyDescent="0.25">
      <c r="A3" s="676" t="s">
        <v>1575</v>
      </c>
      <c r="B3" s="677">
        <f>'C2C'!C125</f>
        <v>5266009224.5300007</v>
      </c>
      <c r="C3" s="677">
        <f>'C2C'!D125</f>
        <v>5818454800</v>
      </c>
      <c r="D3" s="677">
        <f>'C2C'!E125</f>
        <v>5565047847</v>
      </c>
      <c r="E3" s="677">
        <f>'C2C'!F125</f>
        <v>386113216.22999996</v>
      </c>
      <c r="F3" s="677">
        <f>'C2C'!G125</f>
        <v>4617495441.3999996</v>
      </c>
      <c r="G3" s="677">
        <f>'C2C'!H125</f>
        <v>4623794000.7799997</v>
      </c>
      <c r="H3" s="677">
        <f>'C2C'!I125</f>
        <v>-6298559.3800001144</v>
      </c>
      <c r="I3" s="677">
        <f>'C2C'!J125</f>
        <v>-1.3622058809145898E-3</v>
      </c>
      <c r="J3" s="677">
        <f>'C2C'!K125</f>
        <v>5565047847</v>
      </c>
    </row>
    <row r="4" spans="1:13" ht="13.5" x14ac:dyDescent="0.25">
      <c r="A4" s="676" t="s">
        <v>1916</v>
      </c>
      <c r="B4" s="677">
        <f>'C3C'!C111</f>
        <v>5266009224.5300007</v>
      </c>
      <c r="C4" s="677">
        <f>'C3C'!D111</f>
        <v>5818454800</v>
      </c>
      <c r="D4" s="677">
        <f>'C3C'!E111</f>
        <v>5565047847</v>
      </c>
      <c r="E4" s="677">
        <f>'C3C'!F111</f>
        <v>386113216.23000008</v>
      </c>
      <c r="F4" s="677">
        <f>'C3C'!G111</f>
        <v>4617495441.3999996</v>
      </c>
      <c r="G4" s="677">
        <f>'C3C'!H111</f>
        <v>4623794000.7799997</v>
      </c>
      <c r="H4" s="677">
        <f>'C3C'!I111</f>
        <v>-6298559.3800001144</v>
      </c>
      <c r="I4" s="677">
        <f>'C3C'!J111</f>
        <v>-1.3622058809145898E-3</v>
      </c>
      <c r="J4" s="677">
        <f>'C3C'!K111</f>
        <v>5565047847</v>
      </c>
    </row>
    <row r="5" spans="1:13" ht="13.5" x14ac:dyDescent="0.25">
      <c r="A5" s="676" t="s">
        <v>1917</v>
      </c>
      <c r="B5" s="676">
        <f>'C4-FinPerf RE'!C65</f>
        <v>5266009224.5300007</v>
      </c>
      <c r="C5" s="676">
        <f>'C4-FinPerf RE'!D65</f>
        <v>5818454800</v>
      </c>
      <c r="D5" s="676">
        <f>'C4-FinPerf RE'!E65</f>
        <v>5565047847</v>
      </c>
      <c r="E5" s="676">
        <f>'C4-FinPerf RE'!F65</f>
        <v>386113216.23000008</v>
      </c>
      <c r="F5" s="676">
        <f>'C4-FinPerf RE'!G65</f>
        <v>4617495441.4000006</v>
      </c>
      <c r="G5" s="676">
        <f>'C4-FinPerf RE'!H65</f>
        <v>4623794000.7799997</v>
      </c>
      <c r="H5" s="676">
        <f>'C4-FinPerf RE'!I65</f>
        <v>-6298559.3799991608</v>
      </c>
      <c r="I5" s="676">
        <f>'C4-FinPerf RE'!J65</f>
        <v>-1.3622058809143833E-3</v>
      </c>
      <c r="J5" s="676">
        <f>'C4-FinPerf RE'!K65</f>
        <v>5565047847</v>
      </c>
    </row>
    <row r="6" spans="1:13" ht="13.5" x14ac:dyDescent="0.25">
      <c r="A6" s="676"/>
      <c r="B6" s="676"/>
      <c r="C6" s="676"/>
      <c r="D6" s="676"/>
      <c r="E6" s="676"/>
      <c r="F6" s="676"/>
      <c r="G6" s="676"/>
      <c r="H6" s="676"/>
      <c r="I6" s="676"/>
      <c r="J6" s="676"/>
    </row>
    <row r="7" spans="1:13" ht="13.5" x14ac:dyDescent="0.25">
      <c r="A7" s="676" t="s">
        <v>1918</v>
      </c>
      <c r="B7" s="676"/>
      <c r="C7" s="676"/>
      <c r="D7" s="676"/>
      <c r="E7" s="685"/>
      <c r="F7" s="676"/>
      <c r="G7" s="676"/>
      <c r="H7" s="676"/>
      <c r="I7" s="676"/>
      <c r="J7" s="676"/>
    </row>
    <row r="8" spans="1:13" ht="13.5" x14ac:dyDescent="0.25">
      <c r="A8" s="676" t="s">
        <v>1575</v>
      </c>
      <c r="B8" s="677">
        <f>'C2C'!C247</f>
        <v>5256459078.2799997</v>
      </c>
      <c r="C8" s="677">
        <f>'C2C'!D247</f>
        <v>5589918300</v>
      </c>
      <c r="D8" s="683">
        <f>'C2C'!E247</f>
        <v>5623917106.250001</v>
      </c>
      <c r="E8" s="683">
        <f>'C2C'!F247</f>
        <v>380803362.14999998</v>
      </c>
      <c r="F8" s="677">
        <f>'C2C'!G247</f>
        <v>4535002739.8299999</v>
      </c>
      <c r="G8" s="677">
        <f>'C2C'!H247</f>
        <v>4582997169.0500002</v>
      </c>
      <c r="H8" s="677">
        <f>'C2C'!I247</f>
        <v>-47994429.219999917</v>
      </c>
      <c r="I8" s="677">
        <f>'C2C'!J247</f>
        <v>-1.0472279918503328E-2</v>
      </c>
      <c r="J8" s="677">
        <f>'C2C'!K247</f>
        <v>5623917106.250001</v>
      </c>
      <c r="K8" s="678"/>
    </row>
    <row r="9" spans="1:13" ht="13.5" x14ac:dyDescent="0.25">
      <c r="A9" s="676" t="s">
        <v>1916</v>
      </c>
      <c r="B9" s="677">
        <f>'C3C'!C219</f>
        <v>5256459078.2799988</v>
      </c>
      <c r="C9" s="677">
        <f>'C3C'!D219</f>
        <v>5589918300</v>
      </c>
      <c r="D9" s="683">
        <f>'C3C'!E219</f>
        <v>5623917106.250001</v>
      </c>
      <c r="E9" s="686">
        <f>'C3C'!F219</f>
        <v>380803362.14999992</v>
      </c>
      <c r="F9" s="687">
        <f>'C3C'!G219</f>
        <v>4535002739.829999</v>
      </c>
      <c r="G9" s="677">
        <f>'C3C'!H219</f>
        <v>4582997169.0500002</v>
      </c>
      <c r="H9" s="677">
        <f>'C3C'!I219</f>
        <v>-47994429.220001221</v>
      </c>
      <c r="I9" s="677">
        <f>'C3C'!J219</f>
        <v>-1.0472279918503613E-2</v>
      </c>
      <c r="J9" s="677">
        <f>'C3C'!K219</f>
        <v>5623917106.250001</v>
      </c>
    </row>
    <row r="10" spans="1:13" ht="13.5" x14ac:dyDescent="0.25">
      <c r="A10" s="676" t="s">
        <v>1917</v>
      </c>
      <c r="B10" s="679">
        <f>'C4-FinPerf RE'!C48</f>
        <v>5256459078.2799997</v>
      </c>
      <c r="C10" s="679">
        <f>'C4-FinPerf RE'!D48</f>
        <v>5589918300</v>
      </c>
      <c r="D10" s="684">
        <f>'C4-FinPerf RE'!E48</f>
        <v>5623917106.25</v>
      </c>
      <c r="E10" s="689">
        <f>'C4-FinPerf RE'!F48</f>
        <v>380803362.14999998</v>
      </c>
      <c r="F10" s="688">
        <f>'C4-FinPerf RE'!G48</f>
        <v>4535002739.8299999</v>
      </c>
      <c r="G10" s="679">
        <f>'C4-FinPerf RE'!H48</f>
        <v>4582997169.0499992</v>
      </c>
      <c r="H10" s="679">
        <f>'C4-FinPerf RE'!I48</f>
        <v>-47994429.219999313</v>
      </c>
      <c r="I10" s="679">
        <f>'C4-FinPerf RE'!J48</f>
        <v>-1.0472279918503198E-2</v>
      </c>
      <c r="J10" s="679">
        <f>'C4-FinPerf RE'!K48</f>
        <v>5623917106.25</v>
      </c>
      <c r="L10" s="670"/>
      <c r="M10" s="670"/>
    </row>
    <row r="11" spans="1:13" ht="13.5" x14ac:dyDescent="0.25">
      <c r="A11" s="676"/>
    </row>
    <row r="12" spans="1:13" ht="13.5" x14ac:dyDescent="0.25">
      <c r="A12" s="676" t="s">
        <v>1919</v>
      </c>
      <c r="B12" s="676"/>
      <c r="C12" s="676"/>
      <c r="D12" s="685"/>
      <c r="E12" s="685"/>
      <c r="F12" s="676"/>
      <c r="G12" s="676"/>
      <c r="H12" s="676"/>
      <c r="I12" s="676"/>
      <c r="J12" s="676"/>
    </row>
    <row r="13" spans="1:13" ht="13.5" hidden="1" x14ac:dyDescent="0.25">
      <c r="A13" s="676" t="s">
        <v>1920</v>
      </c>
      <c r="B13" s="676">
        <f>SC13a!C172</f>
        <v>413407987.21000004</v>
      </c>
      <c r="C13" s="676">
        <f>SC13a!D172</f>
        <v>335491900</v>
      </c>
      <c r="D13" s="676">
        <f>SC13a!E172</f>
        <v>310196000</v>
      </c>
      <c r="E13" s="685">
        <f>SC13a!F172</f>
        <v>8186000.75</v>
      </c>
      <c r="F13" s="676">
        <f>SC13a!G172</f>
        <v>150140254.77999997</v>
      </c>
      <c r="G13" s="676">
        <f>SC13a!H172</f>
        <v>205572085.16</v>
      </c>
      <c r="H13" s="676">
        <f>SC13a!I172</f>
        <v>55431830.380000025</v>
      </c>
      <c r="I13" s="676">
        <f>SC13a!J172</f>
        <v>0.26964668056393237</v>
      </c>
      <c r="J13" s="676">
        <f>SC13a!K172</f>
        <v>310196000</v>
      </c>
    </row>
    <row r="14" spans="1:13" ht="13.5" hidden="1" x14ac:dyDescent="0.25">
      <c r="A14" s="676" t="s">
        <v>1921</v>
      </c>
      <c r="B14" s="676">
        <f>SC13b!C173</f>
        <v>297160376.24000001</v>
      </c>
      <c r="C14" s="676">
        <f>SC13b!D173</f>
        <v>220702300</v>
      </c>
      <c r="D14" s="676">
        <f>SC13b!E173</f>
        <v>251889000</v>
      </c>
      <c r="E14" s="676">
        <f>SC13b!F173</f>
        <v>23631386.600000001</v>
      </c>
      <c r="F14" s="676">
        <f>SC13b!G173</f>
        <v>219558545.77000001</v>
      </c>
      <c r="G14" s="676">
        <f>SC13b!H173</f>
        <v>237351578.77000001</v>
      </c>
      <c r="H14" s="676">
        <f>SC13b!I173</f>
        <v>17793033</v>
      </c>
      <c r="I14" s="676">
        <f>SC13b!J173</f>
        <v>7.4964881599721409E-2</v>
      </c>
      <c r="J14" s="676">
        <f>SC13b!K173</f>
        <v>251889000</v>
      </c>
    </row>
    <row r="15" spans="1:13" ht="13.5" hidden="1" x14ac:dyDescent="0.25">
      <c r="A15" s="676" t="s">
        <v>1922</v>
      </c>
      <c r="B15" s="676">
        <f>SC13e!C173</f>
        <v>87188734</v>
      </c>
      <c r="C15" s="676">
        <f>SC13e!D173</f>
        <v>54799800</v>
      </c>
      <c r="D15" s="676">
        <f>SC13e!E173</f>
        <v>65720200</v>
      </c>
      <c r="E15" s="676">
        <f>SC13e!F173</f>
        <v>227141.02</v>
      </c>
      <c r="F15" s="676">
        <f>SC13e!G173</f>
        <v>34875181.549999997</v>
      </c>
      <c r="G15" s="676">
        <f>SC13e!H173</f>
        <v>52322270.469999999</v>
      </c>
      <c r="H15" s="676">
        <f>SC13e!I173</f>
        <v>17447088.920000002</v>
      </c>
      <c r="I15" s="676">
        <f>SC13e!J173</f>
        <v>0.33345435439395987</v>
      </c>
      <c r="J15" s="676">
        <f>SC13e!K173</f>
        <v>65720200</v>
      </c>
    </row>
    <row r="16" spans="1:13" ht="13.5" hidden="1" x14ac:dyDescent="0.25">
      <c r="A16" s="676"/>
      <c r="B16" s="676"/>
      <c r="C16" s="676"/>
      <c r="D16" s="676"/>
      <c r="E16" s="676"/>
      <c r="F16" s="676"/>
      <c r="G16" s="676"/>
      <c r="H16" s="676"/>
      <c r="I16" s="676"/>
      <c r="J16" s="676"/>
    </row>
    <row r="17" spans="1:10" ht="13.5" x14ac:dyDescent="0.25">
      <c r="A17" s="676" t="s">
        <v>1942</v>
      </c>
      <c r="B17" s="676">
        <f>SUM(B13:B15)</f>
        <v>797757097.45000005</v>
      </c>
      <c r="C17" s="676">
        <f>SUM(C13:C15)</f>
        <v>610994000</v>
      </c>
      <c r="D17" s="676">
        <f t="shared" ref="D17:J17" si="0">SUM(D13:D15)</f>
        <v>627805200</v>
      </c>
      <c r="E17" s="676">
        <f t="shared" si="0"/>
        <v>32044528.370000001</v>
      </c>
      <c r="F17" s="676">
        <f t="shared" si="0"/>
        <v>404573982.09999996</v>
      </c>
      <c r="G17" s="676">
        <f t="shared" si="0"/>
        <v>495245934.39999998</v>
      </c>
      <c r="H17" s="676">
        <f t="shared" si="0"/>
        <v>90671952.300000027</v>
      </c>
      <c r="I17" s="676">
        <f t="shared" si="0"/>
        <v>0.67806591655761372</v>
      </c>
      <c r="J17" s="676">
        <f t="shared" si="0"/>
        <v>627805200</v>
      </c>
    </row>
    <row r="18" spans="1:10" ht="13.5" x14ac:dyDescent="0.25">
      <c r="A18" s="676" t="s">
        <v>1943</v>
      </c>
      <c r="B18" s="676">
        <f>'C5-Capex'!C40</f>
        <v>797757097.44999993</v>
      </c>
      <c r="C18" s="676">
        <f>'C5-Capex'!D40</f>
        <v>610994000</v>
      </c>
      <c r="D18" s="676">
        <f>'C5-Capex'!E40</f>
        <v>627805200</v>
      </c>
      <c r="E18" s="676">
        <f>'C5-Capex'!F40</f>
        <v>32044528.370000001</v>
      </c>
      <c r="F18" s="676">
        <f>'C5-Capex'!G40</f>
        <v>404573982.09999996</v>
      </c>
      <c r="G18" s="676">
        <f>'C5-Capex'!H40</f>
        <v>495245934.40000004</v>
      </c>
      <c r="H18" s="676">
        <f>'C5-Capex'!I40</f>
        <v>-90671952.299999982</v>
      </c>
      <c r="I18" s="676">
        <f>'C5-Capex'!J40</f>
        <v>-0.18308469792861762</v>
      </c>
      <c r="J18" s="676">
        <f>'C5-Capex'!K40</f>
        <v>627805200</v>
      </c>
    </row>
    <row r="19" spans="1:10" ht="13.5" x14ac:dyDescent="0.25">
      <c r="A19" s="676" t="s">
        <v>1944</v>
      </c>
      <c r="B19" s="676">
        <f>'C5-Capex'!C63</f>
        <v>797757097.45000005</v>
      </c>
      <c r="C19" s="676">
        <f>'C5-Capex'!D63</f>
        <v>610994000</v>
      </c>
      <c r="D19" s="676">
        <f>'C5-Capex'!E63</f>
        <v>627805200</v>
      </c>
      <c r="E19" s="676">
        <f>'C5-Capex'!F63</f>
        <v>32044528.370000001</v>
      </c>
      <c r="F19" s="676">
        <f>'C5-Capex'!G63</f>
        <v>404573982.10000002</v>
      </c>
      <c r="G19" s="676">
        <f>'C5-Capex'!H63</f>
        <v>495245934.39999998</v>
      </c>
      <c r="H19" s="676">
        <f>'C5-Capex'!I63</f>
        <v>-90671952.299999952</v>
      </c>
      <c r="I19" s="676">
        <f>'C5-Capex'!J63</f>
        <v>-0.18308469792861759</v>
      </c>
      <c r="J19" s="676">
        <f>'C5-Capex'!K63</f>
        <v>627805200</v>
      </c>
    </row>
    <row r="20" spans="1:10" ht="13.5" x14ac:dyDescent="0.25">
      <c r="A20" s="676" t="s">
        <v>1923</v>
      </c>
      <c r="B20" s="676">
        <f>'C5-Capex'!C74</f>
        <v>797724122.45000005</v>
      </c>
      <c r="C20" s="676">
        <f>'C5-Capex'!D74</f>
        <v>610994000</v>
      </c>
      <c r="D20" s="676">
        <f>'C5-Capex'!E74</f>
        <v>627805200</v>
      </c>
      <c r="E20" s="676">
        <f>'C5-Capex'!F74</f>
        <v>32044528.369999997</v>
      </c>
      <c r="F20" s="676">
        <f>'C5-Capex'!G74</f>
        <v>404573982.09999996</v>
      </c>
      <c r="G20" s="676">
        <f>'C5-Capex'!H74</f>
        <v>495245934.40000004</v>
      </c>
      <c r="H20" s="676">
        <f>'C5-Capex'!I74</f>
        <v>-90671952.300000072</v>
      </c>
      <c r="I20" s="676">
        <f>'C5-Capex'!J74</f>
        <v>-0.18308469792861778</v>
      </c>
      <c r="J20" s="676">
        <f>'C5-Capex'!K74</f>
        <v>627805200</v>
      </c>
    </row>
    <row r="21" spans="1:10" ht="13.5" x14ac:dyDescent="0.25">
      <c r="A21" s="676"/>
      <c r="B21" s="680"/>
      <c r="C21" s="680"/>
      <c r="D21" s="680"/>
      <c r="E21" s="680"/>
      <c r="F21" s="680"/>
      <c r="G21" s="680"/>
      <c r="H21" s="680"/>
      <c r="I21" s="680"/>
      <c r="J21" s="680"/>
    </row>
    <row r="22" spans="1:10" ht="13.5" x14ac:dyDescent="0.25">
      <c r="A22" s="676" t="s">
        <v>484</v>
      </c>
      <c r="B22" s="676"/>
      <c r="C22" s="676"/>
      <c r="D22" s="676"/>
      <c r="E22" s="676"/>
      <c r="F22" s="676"/>
      <c r="G22" s="676"/>
      <c r="H22" s="676"/>
      <c r="I22" s="676"/>
      <c r="J22" s="676"/>
    </row>
    <row r="23" spans="1:10" ht="13.5" x14ac:dyDescent="0.25">
      <c r="A23" s="676" t="s">
        <v>1924</v>
      </c>
      <c r="B23" s="676">
        <f>SC13d!C173</f>
        <v>325363993.07999998</v>
      </c>
      <c r="C23" s="676">
        <f>SC13d!D173</f>
        <v>305949500</v>
      </c>
      <c r="D23" s="676">
        <f>SC13d!E173</f>
        <v>352759106.20999998</v>
      </c>
      <c r="E23" s="676">
        <f>SC13d!F173</f>
        <v>28737476.429999992</v>
      </c>
      <c r="F23" s="676">
        <f>SC13d!G173</f>
        <v>290740789.87</v>
      </c>
      <c r="G23" s="676">
        <f>SC13d!H173</f>
        <v>292460851.92000002</v>
      </c>
      <c r="H23" s="676">
        <f>SC13d!I173</f>
        <v>1720062.0500000119</v>
      </c>
      <c r="I23" s="676">
        <f>SC13d!J173</f>
        <v>5.8813411733838455E-3</v>
      </c>
      <c r="J23" s="676">
        <f>SC13d!K173</f>
        <v>352759106.20999998</v>
      </c>
    </row>
    <row r="24" spans="1:10" ht="13.5" x14ac:dyDescent="0.25">
      <c r="A24" s="676" t="s">
        <v>1925</v>
      </c>
      <c r="B24" s="676">
        <f>'C4-FinPerf RE'!C40</f>
        <v>325363993.07999998</v>
      </c>
      <c r="C24" s="676">
        <f>'C4-FinPerf RE'!D40</f>
        <v>305949500</v>
      </c>
      <c r="D24" s="676">
        <f>'C4-FinPerf RE'!E40</f>
        <v>352759106.20999998</v>
      </c>
      <c r="E24" s="676">
        <f>'C4-FinPerf RE'!F40</f>
        <v>28737476.43</v>
      </c>
      <c r="F24" s="676">
        <f>'C4-FinPerf RE'!G40</f>
        <v>290740789.87</v>
      </c>
      <c r="G24" s="676">
        <f>'C4-FinPerf RE'!H40</f>
        <v>292460851.92000002</v>
      </c>
      <c r="H24" s="676">
        <f>'C4-FinPerf RE'!I40</f>
        <v>-1720062.0500000119</v>
      </c>
      <c r="I24" s="676">
        <f>'C4-FinPerf RE'!J40</f>
        <v>-5.8813411733838455E-3</v>
      </c>
      <c r="J24" s="676">
        <f>'C4-FinPerf RE'!K40</f>
        <v>352759106.20999998</v>
      </c>
    </row>
    <row r="25" spans="1:10" ht="13.5" x14ac:dyDescent="0.25">
      <c r="A25" s="676"/>
      <c r="B25" s="676"/>
      <c r="C25" s="676"/>
      <c r="D25" s="676"/>
      <c r="E25" s="676"/>
      <c r="F25" s="676"/>
      <c r="G25" s="676"/>
      <c r="H25" s="676"/>
      <c r="I25" s="676"/>
      <c r="J25" s="676"/>
    </row>
    <row r="26" spans="1:10" ht="13.5" x14ac:dyDescent="0.25">
      <c r="A26" s="676" t="s">
        <v>1926</v>
      </c>
      <c r="B26" s="676">
        <f>'C4-FinPerf RE'!C36</f>
        <v>30596809.02</v>
      </c>
      <c r="C26" s="676">
        <f>'C4-FinPerf RE'!D36</f>
        <v>35202700</v>
      </c>
      <c r="D26" s="676">
        <f>'C4-FinPerf RE'!E36</f>
        <v>38433400</v>
      </c>
      <c r="E26" s="676">
        <f>'C4-FinPerf RE'!F36</f>
        <v>2790662.38</v>
      </c>
      <c r="F26" s="676">
        <f>'C4-FinPerf RE'!G36</f>
        <v>28233644.620000001</v>
      </c>
      <c r="G26" s="676">
        <f>'C4-FinPerf RE'!H36</f>
        <v>30260294.149999999</v>
      </c>
      <c r="H26" s="676">
        <f>'C4-FinPerf RE'!I36</f>
        <v>-2026649.5299999975</v>
      </c>
      <c r="I26" s="676">
        <f>'C4-FinPerf RE'!J36</f>
        <v>-6.6973887297787471E-2</v>
      </c>
      <c r="J26" s="676">
        <f>'C4-FinPerf RE'!K36</f>
        <v>38433400</v>
      </c>
    </row>
    <row r="27" spans="1:10" ht="13.5" x14ac:dyDescent="0.25">
      <c r="A27" s="676" t="s">
        <v>1927</v>
      </c>
      <c r="B27" s="676">
        <f>'SC8'!C14</f>
        <v>30596809.019999996</v>
      </c>
      <c r="C27" s="676">
        <f>'SC8'!D14</f>
        <v>35202700</v>
      </c>
      <c r="D27" s="676">
        <f>'SC8'!E14</f>
        <v>38433400</v>
      </c>
      <c r="E27" s="676">
        <f>'SC8'!F14</f>
        <v>2790662.3800000004</v>
      </c>
      <c r="F27" s="676">
        <f>'SC8'!G14</f>
        <v>28233644.619999997</v>
      </c>
      <c r="G27" s="676">
        <f>'SC8'!H14</f>
        <v>30260294.150000002</v>
      </c>
      <c r="H27" s="676">
        <f>'SC8'!I14</f>
        <v>-2026649.5300000049</v>
      </c>
      <c r="I27" s="676">
        <f>'SC8'!J14</f>
        <v>-6.6973887297787707E-2</v>
      </c>
      <c r="J27" s="676">
        <f>'SC8'!K14</f>
        <v>38433400</v>
      </c>
    </row>
    <row r="28" spans="1:10" ht="13.5" x14ac:dyDescent="0.25">
      <c r="A28" s="676"/>
      <c r="B28" s="676"/>
      <c r="C28" s="676"/>
      <c r="D28" s="676"/>
      <c r="E28" s="676"/>
      <c r="F28" s="676"/>
      <c r="G28" s="676"/>
      <c r="H28" s="676"/>
      <c r="I28" s="676"/>
      <c r="J28" s="676"/>
    </row>
    <row r="29" spans="1:10" ht="12" hidden="1" customHeight="1" x14ac:dyDescent="0.25">
      <c r="A29" s="676" t="s">
        <v>1928</v>
      </c>
      <c r="B29" s="676">
        <f>'SC8'!C34</f>
        <v>16897027.880000003</v>
      </c>
      <c r="C29" s="676">
        <f>'SC8'!D34</f>
        <v>20228700</v>
      </c>
      <c r="D29" s="676">
        <f>'SC8'!E34</f>
        <v>22709700</v>
      </c>
      <c r="E29" s="676">
        <f>'SC8'!F34</f>
        <v>1435855.8699999999</v>
      </c>
      <c r="F29" s="676">
        <f>'SC8'!G34</f>
        <v>15080062.73</v>
      </c>
      <c r="G29" s="676">
        <f>'SC8'!H34</f>
        <v>16162540.41</v>
      </c>
      <c r="H29" s="676">
        <f t="shared" ref="H29:H30" si="1">F29-G29</f>
        <v>-1082477.6799999997</v>
      </c>
      <c r="I29" s="676">
        <f>'SC8'!J34</f>
        <v>-6.6974476322438456E-2</v>
      </c>
      <c r="J29" s="676">
        <f>'SC8'!K34</f>
        <v>22709700</v>
      </c>
    </row>
    <row r="30" spans="1:10" ht="10.9" hidden="1" customHeight="1" x14ac:dyDescent="0.25">
      <c r="A30" s="676" t="s">
        <v>1929</v>
      </c>
      <c r="B30" s="676">
        <f>'SC8'!C54</f>
        <v>1139099544.3300002</v>
      </c>
      <c r="C30" s="676">
        <f>'SC8'!D54</f>
        <v>1236839000</v>
      </c>
      <c r="D30" s="676">
        <f>'SC8'!E54</f>
        <v>1174638900</v>
      </c>
      <c r="E30" s="676">
        <f>'SC8'!F54</f>
        <v>91268969.920000002</v>
      </c>
      <c r="F30" s="676">
        <f>'SC8'!G54</f>
        <v>933463075.83999979</v>
      </c>
      <c r="G30" s="676">
        <f>'SC8'!H54</f>
        <v>956418066.10000002</v>
      </c>
      <c r="H30" s="676">
        <f t="shared" si="1"/>
        <v>-22954990.260000229</v>
      </c>
      <c r="I30" s="676">
        <f>'SC8'!J54</f>
        <v>-2.4001000267178274E-2</v>
      </c>
      <c r="J30" s="676">
        <f>'SC8'!K54</f>
        <v>1174638900</v>
      </c>
    </row>
    <row r="31" spans="1:10" ht="13.5" x14ac:dyDescent="0.25">
      <c r="A31" s="676"/>
      <c r="B31" s="676"/>
      <c r="C31" s="676"/>
      <c r="D31" s="676"/>
      <c r="E31" s="676"/>
      <c r="F31" s="676"/>
      <c r="G31" s="676"/>
      <c r="H31" s="676"/>
      <c r="I31" s="676"/>
      <c r="J31" s="676"/>
    </row>
    <row r="32" spans="1:10" ht="13.5" x14ac:dyDescent="0.25">
      <c r="A32" s="676" t="s">
        <v>1930</v>
      </c>
      <c r="B32" s="676">
        <f>SUM(B29:B30)</f>
        <v>1155996572.2100003</v>
      </c>
      <c r="C32" s="676">
        <f>SUM(C29:C30)</f>
        <v>1257067700</v>
      </c>
      <c r="D32" s="676">
        <f t="shared" ref="D32:J32" si="2">SUM(D29:D30)</f>
        <v>1197348600</v>
      </c>
      <c r="E32" s="676">
        <f t="shared" si="2"/>
        <v>92704825.790000007</v>
      </c>
      <c r="F32" s="676">
        <f t="shared" si="2"/>
        <v>948543138.56999981</v>
      </c>
      <c r="G32" s="676">
        <f t="shared" si="2"/>
        <v>972580606.50999999</v>
      </c>
      <c r="H32" s="676">
        <f>SUM(H29:H30)</f>
        <v>-24037467.940000229</v>
      </c>
      <c r="I32" s="676">
        <f t="shared" si="2"/>
        <v>-9.097547658961673E-2</v>
      </c>
      <c r="J32" s="676">
        <f t="shared" si="2"/>
        <v>1197348600</v>
      </c>
    </row>
    <row r="33" spans="1:12" ht="13.5" x14ac:dyDescent="0.25">
      <c r="A33" s="676" t="s">
        <v>1931</v>
      </c>
      <c r="B33" s="676">
        <f>'C4-FinPerf RE'!C35</f>
        <v>1155996572.21</v>
      </c>
      <c r="C33" s="676">
        <f>'C4-FinPerf RE'!D35</f>
        <v>1257067700</v>
      </c>
      <c r="D33" s="676">
        <f>'C4-FinPerf RE'!E35</f>
        <v>1197348600</v>
      </c>
      <c r="E33" s="676">
        <f>'C4-FinPerf RE'!F35</f>
        <v>92704825.790000007</v>
      </c>
      <c r="F33" s="676">
        <f>'C4-FinPerf RE'!G35</f>
        <v>948543138.57000005</v>
      </c>
      <c r="G33" s="676">
        <f>'C4-FinPerf RE'!H35</f>
        <v>972580606.50999999</v>
      </c>
      <c r="H33" s="676">
        <f>'C4-FinPerf RE'!I35</f>
        <v>-24037467.939999938</v>
      </c>
      <c r="I33" s="676">
        <f>'C4-FinPerf RE'!J35</f>
        <v>-2.4715142147709264E-2</v>
      </c>
      <c r="J33" s="676">
        <f>'C4-FinPerf RE'!K35</f>
        <v>1197348600</v>
      </c>
      <c r="L33" s="681"/>
    </row>
    <row r="34" spans="1:12" ht="13.5" hidden="1" x14ac:dyDescent="0.25">
      <c r="A34" s="676"/>
      <c r="B34" s="676"/>
      <c r="C34" s="676"/>
      <c r="D34" s="676"/>
      <c r="E34" s="676"/>
      <c r="F34" s="676"/>
      <c r="G34" s="676"/>
      <c r="H34" s="676"/>
      <c r="I34" s="676"/>
      <c r="J34" s="676"/>
      <c r="L34" s="681"/>
    </row>
    <row r="35" spans="1:12" ht="13.5" hidden="1" x14ac:dyDescent="0.25">
      <c r="A35" s="676" t="s">
        <v>1932</v>
      </c>
      <c r="B35" s="676">
        <f>'C4-FinPerf RE'!C35</f>
        <v>1155996572.21</v>
      </c>
      <c r="C35" s="676">
        <f>'C4-FinPerf RE'!D35</f>
        <v>1257067700</v>
      </c>
      <c r="D35" s="676">
        <f>'C4-FinPerf RE'!E35</f>
        <v>1197348600</v>
      </c>
      <c r="E35" s="676">
        <f>'C4-FinPerf RE'!F35</f>
        <v>92704825.790000007</v>
      </c>
      <c r="F35" s="676">
        <f>'C4-FinPerf RE'!G35</f>
        <v>948543138.57000005</v>
      </c>
      <c r="G35" s="676">
        <f>'C4-FinPerf RE'!H35</f>
        <v>972580606.50999999</v>
      </c>
      <c r="H35" s="676">
        <f>'C4-FinPerf RE'!I35</f>
        <v>-24037467.939999938</v>
      </c>
      <c r="I35" s="676">
        <f>'C4-FinPerf RE'!J35</f>
        <v>-2.4715142147709264E-2</v>
      </c>
      <c r="J35" s="676">
        <f>'C4-FinPerf RE'!K35</f>
        <v>1197348600</v>
      </c>
    </row>
    <row r="36" spans="1:12" ht="13.5" hidden="1" x14ac:dyDescent="0.25">
      <c r="A36" s="676" t="s">
        <v>1933</v>
      </c>
      <c r="B36" s="676">
        <f>'C4-FinPerf RE'!C36</f>
        <v>30596809.02</v>
      </c>
      <c r="C36" s="676">
        <f>'C4-FinPerf RE'!D36</f>
        <v>35202700</v>
      </c>
      <c r="D36" s="676">
        <f>'C4-FinPerf RE'!E36</f>
        <v>38433400</v>
      </c>
      <c r="E36" s="676">
        <f>'C4-FinPerf RE'!F36</f>
        <v>2790662.38</v>
      </c>
      <c r="F36" s="676">
        <f>'C4-FinPerf RE'!G36</f>
        <v>28233644.620000001</v>
      </c>
      <c r="G36" s="676">
        <f>'C4-FinPerf RE'!H36</f>
        <v>30260294.149999999</v>
      </c>
      <c r="H36" s="676">
        <f>'C4-FinPerf RE'!I36</f>
        <v>-2026649.5299999975</v>
      </c>
      <c r="I36" s="676">
        <f>'C4-FinPerf RE'!J36</f>
        <v>-6.6973887297787471E-2</v>
      </c>
      <c r="J36" s="676">
        <f>'C4-FinPerf RE'!K36</f>
        <v>38433400</v>
      </c>
    </row>
    <row r="37" spans="1:12" ht="13.5" x14ac:dyDescent="0.25">
      <c r="A37" s="676"/>
      <c r="B37" s="676"/>
      <c r="C37" s="676"/>
      <c r="D37" s="676"/>
      <c r="E37" s="676"/>
      <c r="F37" s="676"/>
      <c r="G37" s="676"/>
      <c r="H37" s="676"/>
      <c r="I37" s="676"/>
      <c r="J37" s="676"/>
    </row>
    <row r="38" spans="1:12" ht="13.5" x14ac:dyDescent="0.25">
      <c r="A38" s="676" t="s">
        <v>1934</v>
      </c>
      <c r="B38" s="676">
        <f>SUM(B35:B36)</f>
        <v>1186593381.23</v>
      </c>
      <c r="C38" s="676">
        <f>SUM(C35:C36)</f>
        <v>1292270400</v>
      </c>
      <c r="D38" s="676">
        <f t="shared" ref="D38:J38" si="3">SUM(D35:D36)</f>
        <v>1235782000</v>
      </c>
      <c r="E38" s="676">
        <f t="shared" si="3"/>
        <v>95495488.170000002</v>
      </c>
      <c r="F38" s="676">
        <f t="shared" si="3"/>
        <v>976776783.19000006</v>
      </c>
      <c r="G38" s="676">
        <f t="shared" si="3"/>
        <v>1002840900.66</v>
      </c>
      <c r="H38" s="676">
        <f t="shared" si="3"/>
        <v>-26064117.469999935</v>
      </c>
      <c r="I38" s="676">
        <f t="shared" si="3"/>
        <v>-9.1689029445496728E-2</v>
      </c>
      <c r="J38" s="676">
        <f t="shared" si="3"/>
        <v>1235782000</v>
      </c>
    </row>
    <row r="39" spans="1:12" ht="13.5" x14ac:dyDescent="0.25">
      <c r="A39" s="676" t="s">
        <v>1935</v>
      </c>
      <c r="B39" s="676">
        <f>'SC8'!C119</f>
        <v>1186593381.2300003</v>
      </c>
      <c r="C39" s="676">
        <f>'SC8'!D119</f>
        <v>1292270400</v>
      </c>
      <c r="D39" s="676">
        <f>'SC8'!E119</f>
        <v>1235782000</v>
      </c>
      <c r="E39" s="676">
        <f>'SC8'!F119</f>
        <v>95495488.170000002</v>
      </c>
      <c r="F39" s="676">
        <f>'SC8'!G119</f>
        <v>976776783.18999982</v>
      </c>
      <c r="G39" s="676">
        <f>'SC8'!H119</f>
        <v>1002840900.6600001</v>
      </c>
      <c r="H39" s="676">
        <f>'SC8'!I119</f>
        <v>-26064117.470000267</v>
      </c>
      <c r="I39" s="676">
        <f>'SC8'!J119</f>
        <v>-2.5990281661674029E-2</v>
      </c>
      <c r="J39" s="676">
        <f>'SC8'!K119</f>
        <v>1235782000</v>
      </c>
    </row>
    <row r="40" spans="1:12" x14ac:dyDescent="0.2">
      <c r="C40" s="681"/>
      <c r="D40" s="681"/>
      <c r="E40" s="681"/>
      <c r="F40" s="681"/>
      <c r="G40" s="681"/>
      <c r="H40" s="681"/>
      <c r="I40" s="681"/>
      <c r="J40" s="681"/>
    </row>
    <row r="42" spans="1:12" ht="13.5" x14ac:dyDescent="0.25">
      <c r="A42" s="682" t="s">
        <v>1936</v>
      </c>
      <c r="B42" s="676">
        <f>'SC4'!C16</f>
        <v>198580177.17999998</v>
      </c>
      <c r="C42" s="676">
        <f>'SC4'!D16</f>
        <v>0</v>
      </c>
      <c r="D42" s="676">
        <f>'SC4'!E16</f>
        <v>0</v>
      </c>
      <c r="E42" s="676">
        <f>'SC4'!F16</f>
        <v>0</v>
      </c>
      <c r="F42" s="676">
        <f>'SC4'!G16</f>
        <v>0</v>
      </c>
      <c r="G42" s="676">
        <f>'SC4'!H16</f>
        <v>0</v>
      </c>
      <c r="H42" s="676">
        <f>'SC4'!I16</f>
        <v>0</v>
      </c>
      <c r="I42" s="676">
        <f>'SC4'!J16</f>
        <v>0</v>
      </c>
      <c r="J42" s="676">
        <f>'SC4'!K16</f>
        <v>198580177.17999998</v>
      </c>
    </row>
    <row r="43" spans="1:12" ht="13.5" x14ac:dyDescent="0.25">
      <c r="A43" s="682" t="s">
        <v>1937</v>
      </c>
      <c r="B43" s="676">
        <f>'SC3'!C14</f>
        <v>438629194.72000015</v>
      </c>
      <c r="C43" s="676">
        <f>'SC3'!D14</f>
        <v>23593006.140000001</v>
      </c>
      <c r="D43" s="676">
        <f>'SC3'!E14</f>
        <v>28163145.959999997</v>
      </c>
      <c r="E43" s="676">
        <f>'SC3'!F14</f>
        <v>17486121.879999999</v>
      </c>
      <c r="F43" s="676">
        <f>'SC3'!G14</f>
        <v>10745260.710000001</v>
      </c>
      <c r="G43" s="676">
        <f>'SC3'!H14</f>
        <v>18001650.940000001</v>
      </c>
      <c r="H43" s="676">
        <f>'SC3'!I14</f>
        <v>105096902.52000001</v>
      </c>
      <c r="I43" s="676">
        <f>'SC3'!J14</f>
        <v>312179117.07999998</v>
      </c>
      <c r="J43" s="676">
        <f>'SC3'!K14</f>
        <v>953894399.94999993</v>
      </c>
      <c r="K43" s="676">
        <f>'SC3'!M14</f>
        <v>0</v>
      </c>
      <c r="L43" s="676">
        <f>'SC3'!N14</f>
        <v>-330300826.94999999</v>
      </c>
    </row>
  </sheetData>
  <pageMargins left="0.7" right="0.7" top="0.75" bottom="0.75" header="0.3" footer="0.3"/>
  <customProperties>
    <customPr name="_pios_id" r:id="rId1"/>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A76" sqref="A76"/>
    </sheetView>
  </sheetViews>
  <sheetFormatPr defaultColWidth="9.28515625" defaultRowHeight="12.75" x14ac:dyDescent="0.25"/>
  <cols>
    <col min="1" max="1" width="10.7109375" style="21" customWidth="1"/>
    <col min="2" max="16384" width="9.28515625" style="21"/>
  </cols>
  <sheetData>
    <row r="1" spans="1:11" ht="13.5" x14ac:dyDescent="0.25">
      <c r="A1" s="802" t="str">
        <f>'Template names'!B102</f>
        <v>Chart C1 2025/26 Capital Expenditure Monthly Trend: actual v target</v>
      </c>
      <c r="B1" s="161"/>
      <c r="C1" s="161"/>
      <c r="D1" s="161"/>
      <c r="E1" s="162"/>
    </row>
    <row r="2" spans="1:11" x14ac:dyDescent="0.25">
      <c r="A2" s="159" t="s">
        <v>818</v>
      </c>
      <c r="B2" s="167" t="str">
        <f>'SC12'!B2</f>
        <v>2023/24</v>
      </c>
      <c r="C2" s="167" t="str">
        <f>'SC12'!C3</f>
        <v>Original Budget</v>
      </c>
      <c r="D2" s="167" t="str">
        <f>'SC12'!D3</f>
        <v>Adjusted Budget</v>
      </c>
      <c r="E2" s="168" t="str">
        <f>'SC12'!E3</f>
        <v>Monthly actual</v>
      </c>
      <c r="F2" s="43"/>
      <c r="G2" s="43"/>
      <c r="H2" s="43"/>
      <c r="I2" s="43"/>
    </row>
    <row r="3" spans="1:11" x14ac:dyDescent="0.25">
      <c r="A3" s="32" t="str">
        <f>LEFT('SC12'!A6,3)</f>
        <v>Jul</v>
      </c>
      <c r="B3" s="33">
        <f>'SC12'!B6</f>
        <v>4535061.28</v>
      </c>
      <c r="C3" s="33">
        <f>'SC12'!C6</f>
        <v>16640900</v>
      </c>
      <c r="D3" s="33">
        <f>'SC12'!D6</f>
        <v>57121340.789999999</v>
      </c>
      <c r="E3" s="35">
        <f>'SC12'!E6</f>
        <v>57121340.789999999</v>
      </c>
      <c r="F3" s="33"/>
      <c r="G3" s="33"/>
      <c r="H3" s="33"/>
      <c r="I3" s="33"/>
      <c r="J3" s="33"/>
      <c r="K3" s="33"/>
    </row>
    <row r="4" spans="1:11" x14ac:dyDescent="0.25">
      <c r="A4" s="32" t="str">
        <f>LEFT('SC12'!A7,3)</f>
        <v>Aug</v>
      </c>
      <c r="B4" s="33">
        <f>'SC12'!B7</f>
        <v>103758970.09999999</v>
      </c>
      <c r="C4" s="33">
        <f>'SC12'!C7</f>
        <v>67822300</v>
      </c>
      <c r="D4" s="33">
        <f>'SC12'!D7</f>
        <v>54919434.43</v>
      </c>
      <c r="E4" s="35">
        <f>'SC12'!E7</f>
        <v>54919434.43</v>
      </c>
      <c r="F4" s="33"/>
      <c r="G4" s="33"/>
      <c r="H4" s="33"/>
      <c r="I4" s="33"/>
      <c r="J4" s="33"/>
      <c r="K4" s="33"/>
    </row>
    <row r="5" spans="1:11" x14ac:dyDescent="0.25">
      <c r="A5" s="32" t="str">
        <f>LEFT('SC12'!A8,3)</f>
        <v>Sep</v>
      </c>
      <c r="B5" s="33">
        <f>'SC12'!B8</f>
        <v>85606992.560000002</v>
      </c>
      <c r="C5" s="33">
        <f>'SC12'!C8</f>
        <v>49320600</v>
      </c>
      <c r="D5" s="33">
        <f>'SC12'!D8</f>
        <v>25025378.09</v>
      </c>
      <c r="E5" s="35">
        <f>'SC12'!E8</f>
        <v>25025378.09</v>
      </c>
      <c r="F5" s="33"/>
      <c r="G5" s="33"/>
      <c r="H5" s="33"/>
      <c r="I5" s="33"/>
      <c r="J5" s="33"/>
      <c r="K5" s="33"/>
    </row>
    <row r="6" spans="1:11" x14ac:dyDescent="0.25">
      <c r="A6" s="32" t="str">
        <f>LEFT('SC12'!A9,3)</f>
        <v>Oct</v>
      </c>
      <c r="B6" s="33">
        <f>'SC12'!B9</f>
        <v>101131229.33</v>
      </c>
      <c r="C6" s="33">
        <f>'SC12'!C9</f>
        <v>79875300</v>
      </c>
      <c r="D6" s="33">
        <f>'SC12'!D9</f>
        <v>46598499.659999996</v>
      </c>
      <c r="E6" s="35">
        <f>'SC12'!E9</f>
        <v>46598499.659999996</v>
      </c>
      <c r="F6" s="33"/>
      <c r="G6" s="33"/>
      <c r="H6" s="33"/>
      <c r="I6" s="33"/>
      <c r="J6" s="33"/>
      <c r="K6" s="33"/>
    </row>
    <row r="7" spans="1:11" x14ac:dyDescent="0.25">
      <c r="A7" s="32" t="str">
        <f>LEFT('SC12'!A10,3)</f>
        <v>Nov</v>
      </c>
      <c r="B7" s="33">
        <f>'SC12'!B10</f>
        <v>44444850.619999997</v>
      </c>
      <c r="C7" s="33">
        <f>'SC12'!C10</f>
        <v>76092700</v>
      </c>
      <c r="D7" s="33">
        <f>'SC12'!D10</f>
        <v>52505587.329999998</v>
      </c>
      <c r="E7" s="35">
        <f>'SC12'!E10</f>
        <v>52505587.329999998</v>
      </c>
      <c r="F7" s="33"/>
      <c r="G7" s="33"/>
      <c r="H7" s="33"/>
      <c r="I7" s="33"/>
      <c r="J7" s="33"/>
      <c r="K7" s="33"/>
    </row>
    <row r="8" spans="1:11" x14ac:dyDescent="0.25">
      <c r="A8" s="32" t="str">
        <f>LEFT('SC12'!A11,3)</f>
        <v>Dec</v>
      </c>
      <c r="B8" s="33">
        <f>'SC12'!B11</f>
        <v>123482370.41</v>
      </c>
      <c r="C8" s="33">
        <f>'SC12'!C11</f>
        <v>67629800</v>
      </c>
      <c r="D8" s="33">
        <f>'SC12'!D11</f>
        <v>43812712.109999999</v>
      </c>
      <c r="E8" s="35">
        <f>'SC12'!E11</f>
        <v>43812712.109999999</v>
      </c>
      <c r="F8" s="33"/>
      <c r="G8" s="33"/>
      <c r="H8" s="33"/>
      <c r="I8" s="33"/>
      <c r="J8" s="33"/>
      <c r="K8" s="33"/>
    </row>
    <row r="9" spans="1:11" x14ac:dyDescent="0.25">
      <c r="A9" s="32" t="str">
        <f>LEFT('SC12'!A12,3)</f>
        <v>Jan</v>
      </c>
      <c r="B9" s="33">
        <f>'SC12'!B12</f>
        <v>26809154.739999998</v>
      </c>
      <c r="C9" s="33">
        <f>'SC12'!C12</f>
        <v>58814000</v>
      </c>
      <c r="D9" s="33">
        <f>'SC12'!D12</f>
        <v>28262641.75</v>
      </c>
      <c r="E9" s="35">
        <f>'SC12'!E12</f>
        <v>28262641.75</v>
      </c>
      <c r="F9" s="33"/>
      <c r="G9" s="33"/>
      <c r="H9" s="33"/>
      <c r="I9" s="33"/>
      <c r="J9" s="33"/>
      <c r="K9" s="33"/>
    </row>
    <row r="10" spans="1:11" x14ac:dyDescent="0.25">
      <c r="A10" s="32" t="str">
        <f>LEFT('SC12'!A13,3)</f>
        <v>Feb</v>
      </c>
      <c r="B10" s="33">
        <f>'SC12'!B13</f>
        <v>42619673.32</v>
      </c>
      <c r="C10" s="33">
        <f>'SC12'!C13</f>
        <v>57829900</v>
      </c>
      <c r="D10" s="33">
        <f>'SC12'!D13</f>
        <v>62844413.770000003</v>
      </c>
      <c r="E10" s="35">
        <f>'SC12'!E13</f>
        <v>24798875.129999999</v>
      </c>
      <c r="F10" s="33"/>
      <c r="G10" s="33"/>
      <c r="H10" s="33"/>
      <c r="I10" s="33"/>
      <c r="J10" s="33"/>
      <c r="K10" s="33"/>
    </row>
    <row r="11" spans="1:11" x14ac:dyDescent="0.25">
      <c r="A11" s="32" t="str">
        <f>LEFT('SC12'!A14,3)</f>
        <v>Mar</v>
      </c>
      <c r="B11" s="33">
        <f>'SC12'!B14</f>
        <v>113992367.58</v>
      </c>
      <c r="C11" s="33">
        <f>'SC12'!C14</f>
        <v>47815500</v>
      </c>
      <c r="D11" s="33">
        <f>'SC12'!D14</f>
        <v>59511964.159999996</v>
      </c>
      <c r="E11" s="35">
        <f>'SC12'!E14</f>
        <v>39484984.439999998</v>
      </c>
      <c r="F11" s="33"/>
      <c r="G11" s="33"/>
      <c r="H11" s="33"/>
      <c r="I11" s="33"/>
      <c r="J11" s="33"/>
      <c r="K11" s="33"/>
    </row>
    <row r="12" spans="1:11" x14ac:dyDescent="0.25">
      <c r="A12" s="32" t="str">
        <f>LEFT('SC12'!A15,3)</f>
        <v>Apr</v>
      </c>
      <c r="B12" s="33">
        <f>'SC12'!B15</f>
        <v>32876689.350000001</v>
      </c>
      <c r="C12" s="33">
        <f>'SC12'!C15</f>
        <v>55902500</v>
      </c>
      <c r="D12" s="33">
        <f>'SC12'!D15</f>
        <v>64643962.310000002</v>
      </c>
      <c r="E12" s="35">
        <f>'SC12'!E15</f>
        <v>32044528.370000001</v>
      </c>
      <c r="F12" s="33"/>
      <c r="G12" s="33"/>
      <c r="H12" s="33"/>
      <c r="I12" s="33"/>
      <c r="J12" s="33"/>
      <c r="K12" s="33"/>
    </row>
    <row r="13" spans="1:11" x14ac:dyDescent="0.25">
      <c r="A13" s="32" t="str">
        <f>LEFT('SC12'!A16,3)</f>
        <v>May</v>
      </c>
      <c r="B13" s="33">
        <f>'SC12'!B16</f>
        <v>54778304.130000003</v>
      </c>
      <c r="C13" s="33">
        <f>'SC12'!C16</f>
        <v>22763000</v>
      </c>
      <c r="D13" s="33">
        <f>'SC12'!D16</f>
        <v>66599084.619999997</v>
      </c>
      <c r="E13" s="35">
        <f>'SC12'!E16</f>
        <v>0</v>
      </c>
      <c r="F13" s="33"/>
      <c r="G13" s="33"/>
      <c r="H13" s="33"/>
      <c r="I13" s="33"/>
      <c r="J13" s="33"/>
      <c r="K13" s="33"/>
    </row>
    <row r="14" spans="1:11" x14ac:dyDescent="0.25">
      <c r="A14" s="61" t="str">
        <f>LEFT('SC12'!A17,3)</f>
        <v>Jun</v>
      </c>
      <c r="B14" s="165">
        <f>'SC12'!B17</f>
        <v>59484050.799999997</v>
      </c>
      <c r="C14" s="165">
        <f>'SC12'!C17</f>
        <v>10487500</v>
      </c>
      <c r="D14" s="165">
        <f>'SC12'!D17</f>
        <v>65960180.979999997</v>
      </c>
      <c r="E14" s="166">
        <f>'SC12'!E17</f>
        <v>0</v>
      </c>
      <c r="F14" s="33"/>
      <c r="G14" s="33"/>
      <c r="H14" s="33"/>
      <c r="I14" s="33"/>
      <c r="J14" s="33"/>
      <c r="K14" s="33"/>
    </row>
    <row r="26" spans="1:9" ht="13.5" x14ac:dyDescent="0.25">
      <c r="A26" s="174" t="str">
        <f>'Template names'!B103</f>
        <v>Chart C2 2025/26 Capital Expenditure: YTD actual v YTD target</v>
      </c>
      <c r="B26" s="172"/>
      <c r="C26" s="172"/>
      <c r="D26" s="173"/>
      <c r="E26" s="43"/>
      <c r="F26" s="43"/>
      <c r="G26" s="43"/>
      <c r="H26" s="43"/>
      <c r="I26" s="43"/>
    </row>
    <row r="27" spans="1:9" x14ac:dyDescent="0.25">
      <c r="A27" s="159" t="s">
        <v>818</v>
      </c>
      <c r="B27" s="167" t="str">
        <f>'SC12'!F3</f>
        <v>YearTD actual</v>
      </c>
      <c r="C27" s="167" t="str">
        <f>'SC12'!G3</f>
        <v>YearTD budget</v>
      </c>
      <c r="D27" s="156"/>
      <c r="E27" s="43"/>
      <c r="F27" s="43"/>
      <c r="G27" s="43"/>
      <c r="H27" s="43"/>
      <c r="I27" s="43"/>
    </row>
    <row r="28" spans="1:9" x14ac:dyDescent="0.25">
      <c r="A28" s="169" t="str">
        <f>LEFT('SC12'!A6,3)</f>
        <v>Jul</v>
      </c>
      <c r="B28" s="170">
        <f>'SC12'!F6</f>
        <v>57121340.789999999</v>
      </c>
      <c r="C28" s="171">
        <f>'SC12'!G6</f>
        <v>57121340.789999999</v>
      </c>
      <c r="D28" s="33"/>
      <c r="E28" s="33"/>
      <c r="F28" s="33"/>
      <c r="G28" s="33"/>
      <c r="H28" s="33"/>
      <c r="I28" s="33"/>
    </row>
    <row r="29" spans="1:9" x14ac:dyDescent="0.25">
      <c r="A29" s="32" t="str">
        <f>LEFT('SC12'!A7,3)</f>
        <v>Aug</v>
      </c>
      <c r="B29" s="33">
        <f>'SC12'!F7</f>
        <v>112040775.22</v>
      </c>
      <c r="C29" s="35">
        <f>'SC12'!G7</f>
        <v>112040775.22</v>
      </c>
      <c r="D29" s="33"/>
      <c r="E29" s="33"/>
      <c r="F29" s="33"/>
      <c r="G29" s="33"/>
      <c r="H29" s="33"/>
      <c r="I29" s="33"/>
    </row>
    <row r="30" spans="1:9" x14ac:dyDescent="0.25">
      <c r="A30" s="32" t="str">
        <f>LEFT('SC12'!A8,3)</f>
        <v>Sep</v>
      </c>
      <c r="B30" s="33">
        <f>'SC12'!F8</f>
        <v>137066153.31</v>
      </c>
      <c r="C30" s="35">
        <f>'SC12'!G8</f>
        <v>137066153.31</v>
      </c>
      <c r="D30" s="33"/>
      <c r="E30" s="33"/>
      <c r="F30" s="33"/>
      <c r="G30" s="33"/>
      <c r="H30" s="33"/>
      <c r="I30" s="33"/>
    </row>
    <row r="31" spans="1:9" x14ac:dyDescent="0.25">
      <c r="A31" s="32" t="str">
        <f>LEFT('SC12'!A9,3)</f>
        <v>Oct</v>
      </c>
      <c r="B31" s="33">
        <f>'SC12'!F9</f>
        <v>183664652.97</v>
      </c>
      <c r="C31" s="35">
        <f>'SC12'!G9</f>
        <v>183664652.97</v>
      </c>
      <c r="D31" s="33"/>
      <c r="E31" s="33"/>
      <c r="F31" s="33"/>
      <c r="G31" s="33"/>
      <c r="H31" s="33"/>
      <c r="I31" s="33"/>
    </row>
    <row r="32" spans="1:9" x14ac:dyDescent="0.25">
      <c r="A32" s="32" t="str">
        <f>LEFT('SC12'!A10,3)</f>
        <v>Nov</v>
      </c>
      <c r="B32" s="33">
        <f>'SC12'!F10</f>
        <v>236170240.30000001</v>
      </c>
      <c r="C32" s="35">
        <f>'SC12'!G10</f>
        <v>236170240.30000001</v>
      </c>
      <c r="D32" s="33"/>
      <c r="E32" s="33"/>
      <c r="F32" s="33"/>
      <c r="G32" s="33"/>
      <c r="H32" s="33"/>
      <c r="I32" s="33"/>
    </row>
    <row r="33" spans="1:9" x14ac:dyDescent="0.25">
      <c r="A33" s="32" t="str">
        <f>LEFT('SC12'!A11,3)</f>
        <v>Dec</v>
      </c>
      <c r="B33" s="33">
        <f>'SC12'!F11</f>
        <v>279982952.41000003</v>
      </c>
      <c r="C33" s="35">
        <f>'SC12'!G11</f>
        <v>279982952.41000003</v>
      </c>
      <c r="D33" s="33"/>
      <c r="E33" s="33"/>
      <c r="F33" s="33"/>
      <c r="G33" s="33"/>
      <c r="H33" s="33"/>
      <c r="I33" s="33"/>
    </row>
    <row r="34" spans="1:9" x14ac:dyDescent="0.25">
      <c r="A34" s="32" t="str">
        <f>LEFT('SC12'!A12,3)</f>
        <v>Jan</v>
      </c>
      <c r="B34" s="33">
        <f>'SC12'!F12</f>
        <v>308245594.16000003</v>
      </c>
      <c r="C34" s="35">
        <f>'SC12'!G12</f>
        <v>308245594.16000003</v>
      </c>
      <c r="D34" s="33"/>
      <c r="E34" s="33"/>
      <c r="F34" s="33"/>
      <c r="G34" s="33"/>
      <c r="H34" s="33"/>
      <c r="I34" s="33"/>
    </row>
    <row r="35" spans="1:9" x14ac:dyDescent="0.25">
      <c r="A35" s="32" t="str">
        <f>LEFT('SC12'!A13,3)</f>
        <v>Feb</v>
      </c>
      <c r="B35" s="33">
        <f>'SC12'!F13</f>
        <v>333044469.29000002</v>
      </c>
      <c r="C35" s="35">
        <f>'SC12'!G13</f>
        <v>371090007.93000001</v>
      </c>
      <c r="D35" s="33"/>
      <c r="E35" s="33"/>
      <c r="F35" s="33"/>
      <c r="G35" s="33"/>
      <c r="H35" s="33"/>
      <c r="I35" s="33"/>
    </row>
    <row r="36" spans="1:9" x14ac:dyDescent="0.25">
      <c r="A36" s="32" t="str">
        <f>LEFT('SC12'!A14,3)</f>
        <v>Mar</v>
      </c>
      <c r="B36" s="33">
        <f>'SC12'!F14</f>
        <v>372529453.73000002</v>
      </c>
      <c r="C36" s="35">
        <f>'SC12'!G14</f>
        <v>430601972.09000003</v>
      </c>
      <c r="D36" s="33"/>
      <c r="E36" s="33"/>
      <c r="F36" s="33"/>
      <c r="G36" s="33"/>
      <c r="H36" s="33"/>
      <c r="I36" s="33"/>
    </row>
    <row r="37" spans="1:9" x14ac:dyDescent="0.25">
      <c r="A37" s="32" t="str">
        <f>LEFT('SC12'!A15,3)</f>
        <v>Apr</v>
      </c>
      <c r="B37" s="33">
        <f>'SC12'!F15</f>
        <v>404573982.10000002</v>
      </c>
      <c r="C37" s="35">
        <f>'SC12'!G15</f>
        <v>495245934.40000004</v>
      </c>
      <c r="D37" s="33"/>
      <c r="E37" s="33"/>
      <c r="F37" s="33"/>
      <c r="G37" s="33"/>
      <c r="H37" s="33"/>
      <c r="I37" s="33"/>
    </row>
    <row r="38" spans="1:9" x14ac:dyDescent="0.25">
      <c r="A38" s="32" t="str">
        <f>LEFT('SC12'!A16,3)</f>
        <v>May</v>
      </c>
      <c r="B38" s="33" t="str">
        <f>'SC12'!F16</f>
        <v/>
      </c>
      <c r="C38" s="35">
        <f>'SC12'!G16</f>
        <v>561845019.01999998</v>
      </c>
      <c r="D38" s="33"/>
      <c r="E38" s="33"/>
      <c r="F38" s="33"/>
      <c r="G38" s="33"/>
      <c r="H38" s="33"/>
      <c r="I38" s="33"/>
    </row>
    <row r="39" spans="1:9" x14ac:dyDescent="0.25">
      <c r="A39" s="61" t="str">
        <f>LEFT('SC12'!A17,3)</f>
        <v>Jun</v>
      </c>
      <c r="B39" s="165" t="str">
        <f>'SC12'!F17</f>
        <v/>
      </c>
      <c r="C39" s="166">
        <f>'SC12'!G17</f>
        <v>627805200</v>
      </c>
      <c r="D39" s="33"/>
      <c r="E39" s="33"/>
      <c r="F39" s="33"/>
      <c r="G39" s="33"/>
      <c r="H39" s="33"/>
      <c r="I39" s="33"/>
    </row>
    <row r="51" spans="1:9" ht="13.5" x14ac:dyDescent="0.25">
      <c r="A51" s="174" t="str">
        <f>'Template names'!B104</f>
        <v>Chart C3 Aged Consumer Debtors Analysis</v>
      </c>
      <c r="B51" s="172"/>
      <c r="C51" s="172"/>
      <c r="D51" s="173"/>
      <c r="E51" s="43"/>
      <c r="F51" s="43"/>
      <c r="G51" s="43"/>
      <c r="H51" s="43"/>
      <c r="I51" s="43"/>
    </row>
    <row r="52" spans="1:9" x14ac:dyDescent="0.25">
      <c r="A52" s="43"/>
      <c r="B52" s="37" t="str">
        <f>'SC3'!C3</f>
        <v>0-30 Days</v>
      </c>
      <c r="C52" s="43" t="str">
        <f>'SC3'!D3</f>
        <v>31-60 Days</v>
      </c>
      <c r="D52" s="43" t="str">
        <f>'SC3'!E3</f>
        <v>61-90 Days</v>
      </c>
      <c r="E52" s="43" t="str">
        <f>'SC3'!F3</f>
        <v>91-120 Days</v>
      </c>
      <c r="F52" s="43" t="str">
        <f>'SC3'!G3</f>
        <v>121-150 Dys</v>
      </c>
      <c r="G52" s="43" t="str">
        <f>'SC3'!H3</f>
        <v>151-180 Dys</v>
      </c>
      <c r="H52" s="43" t="str">
        <f>'SC3'!I3</f>
        <v>181 Dys-1 Yr</v>
      </c>
      <c r="I52" s="43" t="str">
        <f>'SC3'!J3</f>
        <v>Over 1Yr</v>
      </c>
    </row>
    <row r="53" spans="1:9" x14ac:dyDescent="0.25">
      <c r="A53" s="43" t="str">
        <f>Head2</f>
        <v>Budget Year 2024/25</v>
      </c>
      <c r="B53" s="33">
        <f>'SC3'!C14</f>
        <v>438629194.72000015</v>
      </c>
      <c r="C53" s="33">
        <f>'SC3'!D14</f>
        <v>23593006.140000001</v>
      </c>
      <c r="D53" s="33">
        <f>'SC3'!E14</f>
        <v>28163145.959999997</v>
      </c>
      <c r="E53" s="33">
        <f>'SC3'!F14</f>
        <v>17486121.879999999</v>
      </c>
      <c r="F53" s="33">
        <f>'SC3'!G14</f>
        <v>10745260.710000001</v>
      </c>
      <c r="G53" s="33">
        <f>'SC3'!H14</f>
        <v>18001650.940000001</v>
      </c>
      <c r="H53" s="33">
        <f>'SC3'!I14</f>
        <v>105096902.52000001</v>
      </c>
      <c r="I53" s="33">
        <f>'SC3'!J14</f>
        <v>312179117.07999998</v>
      </c>
    </row>
    <row r="54" spans="1:9" x14ac:dyDescent="0.25">
      <c r="A54" s="43" t="str">
        <f>Head1</f>
        <v>2023/24</v>
      </c>
      <c r="B54" s="33">
        <f>'SC3'!C15</f>
        <v>0</v>
      </c>
      <c r="C54" s="33">
        <f>'SC3'!D15</f>
        <v>0</v>
      </c>
      <c r="D54" s="33">
        <f>'SC3'!E15</f>
        <v>0</v>
      </c>
      <c r="E54" s="33">
        <f>'SC3'!F15</f>
        <v>0</v>
      </c>
      <c r="F54" s="33">
        <f>'SC3'!G15</f>
        <v>0</v>
      </c>
      <c r="G54" s="33">
        <f>'SC3'!H15</f>
        <v>0</v>
      </c>
      <c r="H54" s="33">
        <f>'SC3'!I15</f>
        <v>0</v>
      </c>
      <c r="I54" s="33">
        <f>'SC3'!J15</f>
        <v>0</v>
      </c>
    </row>
    <row r="55" spans="1:9" x14ac:dyDescent="0.25">
      <c r="B55" s="33"/>
      <c r="C55" s="33"/>
      <c r="D55" s="33"/>
      <c r="E55" s="33"/>
      <c r="F55" s="33"/>
      <c r="G55" s="33"/>
      <c r="H55" s="33"/>
      <c r="I55" s="33"/>
    </row>
    <row r="56" spans="1:9" x14ac:dyDescent="0.25">
      <c r="B56" s="33"/>
      <c r="C56" s="33"/>
      <c r="D56" s="33"/>
      <c r="E56" s="33"/>
      <c r="F56" s="33"/>
      <c r="G56" s="33"/>
      <c r="H56" s="33"/>
      <c r="I56" s="33"/>
    </row>
    <row r="57" spans="1:9" x14ac:dyDescent="0.25">
      <c r="B57" s="33"/>
      <c r="C57" s="33"/>
      <c r="D57" s="33"/>
      <c r="E57" s="33"/>
      <c r="F57" s="33"/>
      <c r="G57" s="33"/>
      <c r="H57" s="33"/>
      <c r="I57" s="33"/>
    </row>
    <row r="58" spans="1:9" x14ac:dyDescent="0.25">
      <c r="B58" s="33"/>
      <c r="C58" s="33"/>
      <c r="D58" s="33"/>
      <c r="E58" s="33"/>
      <c r="F58" s="33"/>
      <c r="G58" s="33"/>
      <c r="H58" s="33"/>
      <c r="I58" s="33"/>
    </row>
    <row r="59" spans="1:9" x14ac:dyDescent="0.25">
      <c r="B59" s="33"/>
      <c r="C59" s="33"/>
      <c r="D59" s="33"/>
      <c r="E59" s="33"/>
      <c r="F59" s="33"/>
      <c r="G59" s="33"/>
      <c r="H59" s="33"/>
      <c r="I59" s="33"/>
    </row>
    <row r="60" spans="1:9" x14ac:dyDescent="0.25">
      <c r="B60" s="33"/>
      <c r="C60" s="33"/>
      <c r="D60" s="33"/>
      <c r="E60" s="33"/>
      <c r="F60" s="33"/>
      <c r="G60" s="33"/>
      <c r="H60" s="33"/>
      <c r="I60" s="33"/>
    </row>
    <row r="61" spans="1:9" x14ac:dyDescent="0.25">
      <c r="B61" s="33"/>
      <c r="C61" s="33"/>
      <c r="D61" s="33"/>
      <c r="E61" s="33"/>
      <c r="F61" s="33"/>
      <c r="G61" s="33"/>
      <c r="H61" s="33"/>
      <c r="I61" s="33"/>
    </row>
    <row r="62" spans="1:9" x14ac:dyDescent="0.25">
      <c r="B62" s="33"/>
      <c r="C62" s="33"/>
      <c r="D62" s="33"/>
      <c r="E62" s="33"/>
      <c r="F62" s="33"/>
      <c r="G62" s="33"/>
      <c r="H62" s="33"/>
      <c r="I62" s="33"/>
    </row>
    <row r="63" spans="1:9" x14ac:dyDescent="0.25">
      <c r="B63" s="33"/>
      <c r="C63" s="33"/>
      <c r="D63" s="33"/>
      <c r="E63" s="33"/>
      <c r="F63" s="33"/>
      <c r="G63" s="33"/>
      <c r="H63" s="33"/>
      <c r="I63" s="33"/>
    </row>
    <row r="64" spans="1:9" x14ac:dyDescent="0.25">
      <c r="B64" s="33"/>
      <c r="C64" s="33"/>
      <c r="D64" s="33"/>
      <c r="E64" s="33"/>
      <c r="F64" s="33"/>
      <c r="G64" s="33"/>
      <c r="H64" s="33"/>
      <c r="I64" s="33"/>
    </row>
    <row r="76" spans="1:10" ht="13.5" x14ac:dyDescent="0.25">
      <c r="A76" s="174" t="str">
        <f>'Template names'!B105</f>
        <v>Chart C4 Consumer Debtors (total by Debtor Customer Category)</v>
      </c>
      <c r="B76" s="172"/>
      <c r="C76" s="172"/>
      <c r="D76" s="173"/>
      <c r="E76" s="43"/>
      <c r="F76" s="43"/>
      <c r="G76" s="43"/>
      <c r="H76" s="43"/>
      <c r="I76" s="43"/>
    </row>
    <row r="77" spans="1:10" x14ac:dyDescent="0.25">
      <c r="B77" s="37" t="str">
        <f>Head1</f>
        <v>2023/24</v>
      </c>
      <c r="C77" s="43" t="str">
        <f>Head2</f>
        <v>Budget Year 2024/25</v>
      </c>
      <c r="D77" s="43"/>
      <c r="E77" s="43"/>
      <c r="F77" s="43"/>
      <c r="G77" s="43"/>
      <c r="H77" s="43"/>
      <c r="I77" s="43"/>
      <c r="J77" s="43"/>
    </row>
    <row r="78" spans="1:10" x14ac:dyDescent="0.25">
      <c r="A78" s="43" t="str">
        <f>'SC3'!A17</f>
        <v>Organs of State</v>
      </c>
      <c r="B78" s="33">
        <f>C78*0.97</f>
        <v>277842860.12189996</v>
      </c>
      <c r="C78" s="33">
        <f>'SC3'!K17</f>
        <v>286435938.26999998</v>
      </c>
      <c r="D78" s="33"/>
      <c r="E78" s="33"/>
      <c r="F78" s="33"/>
      <c r="G78" s="33"/>
      <c r="H78" s="33"/>
      <c r="I78" s="33"/>
      <c r="J78" s="33"/>
    </row>
    <row r="79" spans="1:10" x14ac:dyDescent="0.25">
      <c r="A79" s="43" t="str">
        <f>'SC3'!A18</f>
        <v>Commercial</v>
      </c>
      <c r="B79" s="33">
        <f>C79*0.97</f>
        <v>330310163.88549995</v>
      </c>
      <c r="C79" s="33">
        <f>'SC3'!K18</f>
        <v>340525942.14999998</v>
      </c>
      <c r="D79" s="33"/>
      <c r="E79" s="33"/>
      <c r="F79" s="33"/>
      <c r="G79" s="33"/>
      <c r="H79" s="33"/>
      <c r="I79" s="33"/>
      <c r="J79" s="33"/>
    </row>
    <row r="80" spans="1:10" x14ac:dyDescent="0.25">
      <c r="A80" s="43" t="str">
        <f>'SC3'!A19</f>
        <v>Households</v>
      </c>
      <c r="B80" s="33">
        <f>C80*0.97</f>
        <v>304422576.03249997</v>
      </c>
      <c r="C80" s="33">
        <f>'SC3'!K19</f>
        <v>313837707.25</v>
      </c>
    </row>
    <row r="81" spans="1:3" x14ac:dyDescent="0.25">
      <c r="A81" s="43" t="str">
        <f>'SC3'!A20</f>
        <v>Other</v>
      </c>
      <c r="B81" s="33">
        <f>C81*0.97</f>
        <v>12701967.911600001</v>
      </c>
      <c r="C81" s="33">
        <f>'SC3'!K20</f>
        <v>13094812.280000001</v>
      </c>
    </row>
    <row r="101" spans="1:10" ht="13.5" x14ac:dyDescent="0.25">
      <c r="A101" s="174" t="s">
        <v>1705</v>
      </c>
      <c r="B101" s="172"/>
      <c r="C101" s="172"/>
      <c r="D101" s="173"/>
      <c r="E101" s="43"/>
      <c r="F101" s="43"/>
    </row>
    <row r="102" spans="1:10" x14ac:dyDescent="0.25">
      <c r="B102" s="37" t="str">
        <f>'SC4'!A6</f>
        <v>Bulk Electricity</v>
      </c>
      <c r="C102" s="43" t="str">
        <f>'SC4'!A7</f>
        <v>Bulk Water</v>
      </c>
      <c r="D102" s="43" t="str">
        <f>'SC4'!A8</f>
        <v>PAYE deductions</v>
      </c>
      <c r="E102" s="43" t="str">
        <f>'SC4'!A9</f>
        <v>VAT (output less input)</v>
      </c>
      <c r="F102" s="43" t="str">
        <f>'SC4'!A10</f>
        <v>Pensions / Retirement deductions</v>
      </c>
      <c r="G102" s="43" t="str">
        <f>'SC4'!A11</f>
        <v>Loan repayments</v>
      </c>
      <c r="H102" s="43" t="str">
        <f>'SC4'!A12</f>
        <v>Trade Creditors</v>
      </c>
      <c r="I102" s="43" t="str">
        <f>'SC4'!A13</f>
        <v>Auditor General</v>
      </c>
      <c r="J102" s="43" t="str">
        <f>'SC4'!A14</f>
        <v>Other</v>
      </c>
    </row>
    <row r="103" spans="1:10" x14ac:dyDescent="0.25">
      <c r="A103" s="43" t="str">
        <f>A54</f>
        <v>2023/24</v>
      </c>
      <c r="B103" s="33">
        <f>'SC4'!L6</f>
        <v>0</v>
      </c>
      <c r="C103" s="33">
        <f>'SC4'!L7</f>
        <v>0</v>
      </c>
      <c r="D103" s="33">
        <f>'SC4'!L8</f>
        <v>0</v>
      </c>
      <c r="E103" s="33">
        <f>'SC4'!L9</f>
        <v>0</v>
      </c>
      <c r="F103" s="33">
        <f>'SC4'!L10</f>
        <v>0</v>
      </c>
      <c r="G103" s="33">
        <f>'SC4'!L11</f>
        <v>0</v>
      </c>
      <c r="H103" s="33">
        <f>'SC4'!L12</f>
        <v>0</v>
      </c>
      <c r="I103" s="33">
        <f>'SC4'!L13</f>
        <v>0</v>
      </c>
      <c r="J103" s="33">
        <f>'SC4'!L14</f>
        <v>0</v>
      </c>
    </row>
    <row r="104" spans="1:10" x14ac:dyDescent="0.25">
      <c r="A104" s="43" t="str">
        <f>A53</f>
        <v>Budget Year 2024/25</v>
      </c>
      <c r="B104" s="33">
        <f>'SC4'!K6</f>
        <v>146069507.13</v>
      </c>
      <c r="C104" s="33">
        <f>'SC4'!K7</f>
        <v>0</v>
      </c>
      <c r="D104" s="33">
        <f>'SC4'!K8</f>
        <v>15630309.23</v>
      </c>
      <c r="E104" s="33">
        <f>'SC4'!K9</f>
        <v>0</v>
      </c>
      <c r="F104" s="33">
        <f>'SC4'!K10</f>
        <v>14486482.119999999</v>
      </c>
      <c r="G104" s="33">
        <f>'SC4'!K11</f>
        <v>0</v>
      </c>
      <c r="H104" s="33">
        <f>'SC4'!K12</f>
        <v>22393878.699999999</v>
      </c>
      <c r="I104" s="33">
        <f>'SC4'!K13</f>
        <v>0</v>
      </c>
      <c r="J104" s="33">
        <f>'SC4'!K14</f>
        <v>0</v>
      </c>
    </row>
    <row r="106" spans="1:10" ht="12" customHeight="1" x14ac:dyDescent="0.25">
      <c r="A106" s="43"/>
      <c r="B106" s="33"/>
      <c r="C106" s="33"/>
    </row>
  </sheetData>
  <sheetProtection selectLockedCells="1" selectUnlockedCells="1"/>
  <phoneticPr fontId="2" type="noConversion"/>
  <pageMargins left="0.75" right="0.75" top="1" bottom="1" header="0.5" footer="0.5"/>
  <pageSetup paperSize="9" orientation="portrait" r:id="rId1"/>
  <headerFooter alignWithMargins="0"/>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78"/>
  <sheetViews>
    <sheetView showGridLines="0" topLeftCell="B1" zoomScaleNormal="100" workbookViewId="0">
      <selection activeCell="E169" sqref="E169:E170"/>
    </sheetView>
  </sheetViews>
  <sheetFormatPr defaultColWidth="9.28515625" defaultRowHeight="11.25" x14ac:dyDescent="0.2"/>
  <cols>
    <col min="1" max="1" width="37.5703125" style="268" customWidth="1"/>
    <col min="2" max="2" width="7.7109375" style="270" customWidth="1"/>
    <col min="3" max="3" width="85.140625" style="269" bestFit="1" customWidth="1"/>
    <col min="4" max="4" width="20" style="268" hidden="1" customWidth="1"/>
    <col min="5" max="5" width="86.7109375" style="268" bestFit="1" customWidth="1"/>
    <col min="6" max="16384" width="9.28515625" style="268"/>
  </cols>
  <sheetData>
    <row r="1" spans="1:5" ht="35.25" customHeight="1" x14ac:dyDescent="0.2">
      <c r="A1" s="278" t="s">
        <v>952</v>
      </c>
      <c r="B1" s="280"/>
      <c r="C1" s="279" t="s">
        <v>951</v>
      </c>
      <c r="E1" s="278" t="s">
        <v>950</v>
      </c>
    </row>
    <row r="2" spans="1:5" x14ac:dyDescent="0.2">
      <c r="A2" s="268" t="str">
        <f>B2&amp;" - "&amp;C2</f>
        <v>Vote 1 - CITY DEVELOPMENT</v>
      </c>
      <c r="B2" s="276" t="s">
        <v>759</v>
      </c>
      <c r="C2" s="274" t="s">
        <v>1376</v>
      </c>
      <c r="E2" s="277"/>
    </row>
    <row r="3" spans="1:5" x14ac:dyDescent="0.2">
      <c r="A3" s="268" t="str">
        <f>B16&amp;" - "&amp; C16</f>
        <v>Vote 2 - COMMUNITY SERVICES - PUBLIC HEALTH AND EMERGENCY SERVICES</v>
      </c>
      <c r="B3" s="273">
        <v>1.1000000000000001</v>
      </c>
      <c r="C3" s="621" t="s">
        <v>1364</v>
      </c>
      <c r="D3" s="268" t="str">
        <f t="shared" ref="D3:D11" si="0">CONCATENATE(B3, " - ", C3)</f>
        <v>1.1 - FX005001014 - Valuation Service (Finance and Administration) - BR</v>
      </c>
      <c r="E3" s="268" t="s">
        <v>1385</v>
      </c>
    </row>
    <row r="4" spans="1:5" x14ac:dyDescent="0.2">
      <c r="A4" s="268" t="str">
        <f>B27&amp;" - "&amp;C27</f>
        <v>Vote 3 - COMMUNITY SERVICES - PROTECTION SERVICES</v>
      </c>
      <c r="B4" s="273">
        <v>1.2</v>
      </c>
      <c r="C4" s="621" t="s">
        <v>1365</v>
      </c>
      <c r="D4" s="268" t="str">
        <f t="shared" si="0"/>
        <v>1.2 - FX007001001 - Housing (Housing) - BT</v>
      </c>
      <c r="E4" s="268" t="s">
        <v>1386</v>
      </c>
    </row>
    <row r="5" spans="1:5" x14ac:dyDescent="0.2">
      <c r="A5" s="268" t="str">
        <f>B38&amp;" - "&amp;C38</f>
        <v>Vote 4 - COMMUNITY SERVICES - RECREATIONAL AND ENVIRONMENTAL SERVICES</v>
      </c>
      <c r="B5" s="273">
        <v>1.3</v>
      </c>
      <c r="C5" s="621" t="s">
        <v>1366</v>
      </c>
      <c r="D5" s="268" t="str">
        <f t="shared" si="0"/>
        <v>1.3 - FX009002006 - Tourism (Other) - BX</v>
      </c>
      <c r="E5" s="268" t="s">
        <v>1387</v>
      </c>
    </row>
    <row r="6" spans="1:5" x14ac:dyDescent="0.2">
      <c r="A6" s="268" t="str">
        <f>B52&amp;" - "&amp;C52</f>
        <v>Vote 5 - CORPORATE SERVICES - ADMINISTRATION</v>
      </c>
      <c r="B6" s="273">
        <v>1.4</v>
      </c>
      <c r="C6" s="621" t="s">
        <v>1529</v>
      </c>
      <c r="D6" s="268" t="str">
        <f t="shared" si="0"/>
        <v>1.4 - FX010001001 - Billboards (Planning and Development) - BY</v>
      </c>
      <c r="E6" s="268" t="s">
        <v>1551</v>
      </c>
    </row>
    <row r="7" spans="1:5" x14ac:dyDescent="0.2">
      <c r="A7" s="268" t="str">
        <f>B63&amp;" - "&amp;C63</f>
        <v>Vote 6 - CORPORATE SERVICES - INFORMATION COMMUNICATION TECHNOLOGY</v>
      </c>
      <c r="B7" s="273">
        <v>1.5</v>
      </c>
      <c r="C7" s="621" t="s">
        <v>1367</v>
      </c>
      <c r="D7" s="268" t="str">
        <f t="shared" si="0"/>
        <v>1.5 - FX010001002 - Corporate Wide Strategic Planning (IDPs, LEDs) (Planning and Development) - BZ</v>
      </c>
      <c r="E7" s="268" t="s">
        <v>1552</v>
      </c>
    </row>
    <row r="8" spans="1:5" x14ac:dyDescent="0.2">
      <c r="A8" s="268" t="str">
        <f>B74&amp;" - "&amp;C74</f>
        <v>Vote 7 - CORPORATE SERVICES - HUMAN RESOURCES</v>
      </c>
      <c r="B8" s="273">
        <v>1.6</v>
      </c>
      <c r="C8" s="621" t="s">
        <v>1368</v>
      </c>
      <c r="D8" s="268" t="str">
        <f t="shared" si="0"/>
        <v>1.6 - FX010001004 - Development Facilitation (Planning and Deveopment) - CA</v>
      </c>
      <c r="E8" s="268" t="s">
        <v>1553</v>
      </c>
    </row>
    <row r="9" spans="1:5" x14ac:dyDescent="0.2">
      <c r="A9" s="268" t="str">
        <f>B85&amp;" - "&amp;C85</f>
        <v>Vote 8 - FINANCIAL SERVICES</v>
      </c>
      <c r="B9" s="273">
        <v>1.7</v>
      </c>
      <c r="C9" s="621" t="s">
        <v>1369</v>
      </c>
      <c r="D9" s="268" t="str">
        <f t="shared" si="0"/>
        <v>1.7 - FX010001005 - Economic Development/Planning (Planning and Development) - CC</v>
      </c>
      <c r="E9" s="268" t="s">
        <v>1554</v>
      </c>
    </row>
    <row r="10" spans="1:5" x14ac:dyDescent="0.2">
      <c r="A10" s="268" t="str">
        <f>B96&amp;" - "&amp;C96</f>
        <v>Vote 9 - ELECTRICAL AND ENERGY SUPPLY SERVICES</v>
      </c>
      <c r="B10" s="273">
        <v>1.8</v>
      </c>
      <c r="C10" s="621" t="s">
        <v>1370</v>
      </c>
      <c r="D10" s="268" t="str">
        <f t="shared" si="0"/>
        <v>1.8 - FX010001006 - Town Planning, Building Regulations and Enforcement, and City Engineer (Planning and Development) - CD</v>
      </c>
      <c r="E10" s="268" t="s">
        <v>1555</v>
      </c>
    </row>
    <row r="11" spans="1:5" x14ac:dyDescent="0.2">
      <c r="A11" s="268" t="str">
        <f>B107&amp;" - "&amp;C107</f>
        <v>Vote 10 - INFRASTRUCTURE SERVICES - INFRASTRUCTURE AND FACILITIES MANAGEMENT SERVICES</v>
      </c>
      <c r="B11" s="273">
        <v>1.9</v>
      </c>
      <c r="C11" s="621" t="s">
        <v>1371</v>
      </c>
      <c r="D11" s="268" t="str">
        <f t="shared" si="0"/>
        <v>1.9 - FX003001003 - Pollution Control (Environmental Protection) - AR</v>
      </c>
      <c r="E11" s="268" t="s">
        <v>1556</v>
      </c>
    </row>
    <row r="12" spans="1:5" x14ac:dyDescent="0.2">
      <c r="A12" s="268" t="str">
        <f>B118&amp;" - "&amp;C118</f>
        <v>Vote 11 - INFRASTRUCTURE SERVICES - CIVIL ENGINEERING SERVICES</v>
      </c>
      <c r="B12" s="273" t="s">
        <v>949</v>
      </c>
      <c r="C12" s="621" t="s">
        <v>1372</v>
      </c>
      <c r="D12" s="268" t="str">
        <f>CONCATENATE(B12, " - ", C12)</f>
        <v>1.10 - FX005001010 - Property Services (Finance and Administration) - BN</v>
      </c>
      <c r="E12" s="268" t="s">
        <v>1557</v>
      </c>
    </row>
    <row r="13" spans="1:5" x14ac:dyDescent="0.2">
      <c r="B13" s="273" t="s">
        <v>1362</v>
      </c>
      <c r="C13" s="621" t="s">
        <v>1373</v>
      </c>
      <c r="E13" s="268" t="s">
        <v>1558</v>
      </c>
    </row>
    <row r="14" spans="1:5" x14ac:dyDescent="0.2">
      <c r="B14" s="273" t="s">
        <v>1363</v>
      </c>
      <c r="C14" s="621" t="s">
        <v>1374</v>
      </c>
      <c r="E14" s="268" t="s">
        <v>1559</v>
      </c>
    </row>
    <row r="15" spans="1:5" x14ac:dyDescent="0.2">
      <c r="B15" s="273" t="s">
        <v>1550</v>
      </c>
      <c r="C15" s="621" t="s">
        <v>1375</v>
      </c>
      <c r="E15" s="268" t="s">
        <v>1560</v>
      </c>
    </row>
    <row r="16" spans="1:5" x14ac:dyDescent="0.2">
      <c r="A16" s="268" t="str">
        <f>B132&amp;" - "&amp;C132</f>
        <v>Vote 12 - INFRASTRUCTURE SERVICES - ENGINEERING SERVICES</v>
      </c>
      <c r="B16" s="276" t="s">
        <v>758</v>
      </c>
      <c r="C16" s="622" t="s">
        <v>1377</v>
      </c>
      <c r="E16" s="277"/>
    </row>
    <row r="17" spans="1:5" x14ac:dyDescent="0.2">
      <c r="A17" s="268" t="str">
        <f>B143&amp;" - "&amp;C143</f>
        <v>Vote 13 - OFFICE OF THE MUNICIPAL MANAGER</v>
      </c>
      <c r="B17" s="273">
        <v>2.1</v>
      </c>
      <c r="C17" s="621" t="s">
        <v>1378</v>
      </c>
      <c r="D17" s="268" t="str">
        <f t="shared" ref="D17:D26" si="1">CONCATENATE(B17, " - ", C17)</f>
        <v>2.1 - FX001002008 - Disaster Management (Community and Social Services) - AH</v>
      </c>
      <c r="E17" s="623" t="s">
        <v>1388</v>
      </c>
    </row>
    <row r="18" spans="1:5" x14ac:dyDescent="0.2">
      <c r="A18" s="268" t="str">
        <f>B157&amp;" - "&amp;C157</f>
        <v>Vote 14 - CORPORATE SERVICES - LEGAL SERVICES</v>
      </c>
      <c r="B18" s="273">
        <v>2.2000000000000002</v>
      </c>
      <c r="C18" s="621" t="s">
        <v>1379</v>
      </c>
      <c r="D18" s="268" t="str">
        <f t="shared" si="1"/>
        <v>2.2 - FX011001005 - Fire Fighting and Protection (Public Safety) - CK</v>
      </c>
      <c r="E18" s="623" t="s">
        <v>1389</v>
      </c>
    </row>
    <row r="19" spans="1:5" x14ac:dyDescent="0.2">
      <c r="A19" s="268" t="str">
        <f>B168&amp;" - "&amp;C168</f>
        <v>Vote 15 - INFRASTRUCTURE SERVICES - INFRASTRUCTURE SUPPORT SERVICES</v>
      </c>
      <c r="B19" s="273">
        <v>2.2999999999999998</v>
      </c>
      <c r="C19" s="621" t="s">
        <v>1380</v>
      </c>
      <c r="D19" s="268" t="str">
        <f t="shared" si="1"/>
        <v>2.3 - FX012001005 - Taxi Ranks (Road Transport) - CP</v>
      </c>
      <c r="E19" s="623" t="s">
        <v>1390</v>
      </c>
    </row>
    <row r="20" spans="1:5" x14ac:dyDescent="0.2">
      <c r="B20" s="273">
        <v>2.4</v>
      </c>
      <c r="C20" s="621" t="s">
        <v>1381</v>
      </c>
      <c r="D20" s="268" t="str">
        <f t="shared" si="1"/>
        <v>2.4 - FX014001003 - Solid Waste Removal (Waste Management) - DC</v>
      </c>
      <c r="E20" s="623" t="s">
        <v>1391</v>
      </c>
    </row>
    <row r="21" spans="1:5" x14ac:dyDescent="0.2">
      <c r="B21" s="273">
        <v>2.5</v>
      </c>
      <c r="C21" s="621" t="s">
        <v>1382</v>
      </c>
      <c r="D21" s="268" t="str">
        <f t="shared" si="1"/>
        <v>2.5 - FX014001004 - Street Cleansing (Waste Management) - DE</v>
      </c>
      <c r="E21" s="623" t="s">
        <v>1392</v>
      </c>
    </row>
    <row r="22" spans="1:5" x14ac:dyDescent="0.2">
      <c r="B22" s="273">
        <v>2.6</v>
      </c>
      <c r="C22" s="621" t="s">
        <v>1383</v>
      </c>
      <c r="D22" s="268" t="str">
        <f t="shared" si="1"/>
        <v>2.6 - FX015001001 - Public Toilets (Waste Water Management) - DF</v>
      </c>
      <c r="E22" s="623" t="s">
        <v>1393</v>
      </c>
    </row>
    <row r="23" spans="1:5" x14ac:dyDescent="0.2">
      <c r="B23" s="273">
        <v>2.7</v>
      </c>
      <c r="C23" s="621" t="s">
        <v>1384</v>
      </c>
      <c r="D23" s="268" t="str">
        <f t="shared" si="1"/>
        <v>2.7 - FX006001001 - Public Health and Emergency Services (Environmental Protection) - DY</v>
      </c>
      <c r="E23" s="623" t="s">
        <v>1394</v>
      </c>
    </row>
    <row r="24" spans="1:5" x14ac:dyDescent="0.2">
      <c r="A24" s="277"/>
      <c r="B24" s="273">
        <v>2.8</v>
      </c>
      <c r="C24" s="272" t="s">
        <v>934</v>
      </c>
      <c r="D24" s="268" t="str">
        <f t="shared" si="1"/>
        <v>2.8 - [Name of sub-vote]</v>
      </c>
      <c r="E24" s="271"/>
    </row>
    <row r="25" spans="1:5" x14ac:dyDescent="0.2">
      <c r="B25" s="273">
        <v>2.9</v>
      </c>
      <c r="C25" s="272" t="s">
        <v>934</v>
      </c>
      <c r="D25" s="268" t="str">
        <f t="shared" si="1"/>
        <v>2.9 - [Name of sub-vote]</v>
      </c>
      <c r="E25" s="271"/>
    </row>
    <row r="26" spans="1:5" x14ac:dyDescent="0.2">
      <c r="B26" s="273" t="s">
        <v>948</v>
      </c>
      <c r="C26" s="272" t="s">
        <v>934</v>
      </c>
      <c r="D26" s="268" t="str">
        <f t="shared" si="1"/>
        <v>2.10 - [Name of sub-vote]</v>
      </c>
      <c r="E26" s="271"/>
    </row>
    <row r="27" spans="1:5" x14ac:dyDescent="0.2">
      <c r="B27" s="276" t="s">
        <v>757</v>
      </c>
      <c r="C27" s="622" t="s">
        <v>1395</v>
      </c>
      <c r="E27" s="271"/>
    </row>
    <row r="28" spans="1:5" x14ac:dyDescent="0.2">
      <c r="B28" s="273">
        <v>3.1</v>
      </c>
      <c r="C28" s="621" t="s">
        <v>1396</v>
      </c>
      <c r="D28" s="268" t="str">
        <f t="shared" ref="D28:D37" si="2">CONCATENATE(B28, " - ", C28)</f>
        <v>3.1 - FX005001012 - Security Services (Finance and Administration) - BP</v>
      </c>
      <c r="E28" s="623" t="s">
        <v>1400</v>
      </c>
    </row>
    <row r="29" spans="1:5" x14ac:dyDescent="0.2">
      <c r="B29" s="273">
        <v>3.2</v>
      </c>
      <c r="C29" s="621" t="s">
        <v>1397</v>
      </c>
      <c r="D29" s="268" t="str">
        <f t="shared" si="2"/>
        <v>3.2 - FX011001007 - Police Forces, Traffic and Street Parking Control (Road Transport) - CQ</v>
      </c>
      <c r="E29" s="623" t="s">
        <v>1401</v>
      </c>
    </row>
    <row r="30" spans="1:5" x14ac:dyDescent="0.2">
      <c r="B30" s="273">
        <v>3.3</v>
      </c>
      <c r="C30" s="621" t="s">
        <v>1398</v>
      </c>
      <c r="D30" s="268" t="str">
        <f t="shared" si="2"/>
        <v>3.3 - FX012002001 - Road and Traffic Regulation (Road Transport) - CR</v>
      </c>
      <c r="E30" s="623" t="s">
        <v>1402</v>
      </c>
    </row>
    <row r="31" spans="1:5" x14ac:dyDescent="0.2">
      <c r="B31" s="273">
        <v>3.4</v>
      </c>
      <c r="C31" s="621" t="s">
        <v>1399</v>
      </c>
      <c r="D31" s="268" t="str">
        <f t="shared" si="2"/>
        <v>3.4 - FX011001006 - Public Safety Licensing and Control of Animals - CU</v>
      </c>
      <c r="E31" s="623" t="s">
        <v>1403</v>
      </c>
    </row>
    <row r="32" spans="1:5" x14ac:dyDescent="0.2">
      <c r="B32" s="273">
        <v>3.5</v>
      </c>
      <c r="C32" s="272" t="s">
        <v>934</v>
      </c>
      <c r="D32" s="268" t="str">
        <f t="shared" si="2"/>
        <v>3.5 - [Name of sub-vote]</v>
      </c>
      <c r="E32" s="271"/>
    </row>
    <row r="33" spans="2:5" x14ac:dyDescent="0.2">
      <c r="B33" s="273">
        <v>3.6</v>
      </c>
      <c r="C33" s="272" t="s">
        <v>934</v>
      </c>
      <c r="D33" s="268" t="str">
        <f t="shared" si="2"/>
        <v>3.6 - [Name of sub-vote]</v>
      </c>
      <c r="E33" s="271"/>
    </row>
    <row r="34" spans="2:5" x14ac:dyDescent="0.2">
      <c r="B34" s="273">
        <v>3.7</v>
      </c>
      <c r="C34" s="272" t="s">
        <v>934</v>
      </c>
      <c r="D34" s="268" t="str">
        <f t="shared" si="2"/>
        <v>3.7 - [Name of sub-vote]</v>
      </c>
      <c r="E34" s="271"/>
    </row>
    <row r="35" spans="2:5" x14ac:dyDescent="0.2">
      <c r="B35" s="273">
        <v>3.8</v>
      </c>
      <c r="C35" s="272" t="s">
        <v>934</v>
      </c>
      <c r="D35" s="268" t="str">
        <f t="shared" si="2"/>
        <v>3.8 - [Name of sub-vote]</v>
      </c>
      <c r="E35" s="271"/>
    </row>
    <row r="36" spans="2:5" x14ac:dyDescent="0.2">
      <c r="B36" s="273">
        <v>3.9</v>
      </c>
      <c r="C36" s="272" t="s">
        <v>934</v>
      </c>
      <c r="D36" s="268" t="str">
        <f t="shared" si="2"/>
        <v>3.9 - [Name of sub-vote]</v>
      </c>
      <c r="E36" s="271"/>
    </row>
    <row r="37" spans="2:5" x14ac:dyDescent="0.2">
      <c r="B37" s="273" t="s">
        <v>947</v>
      </c>
      <c r="C37" s="272" t="s">
        <v>934</v>
      </c>
      <c r="D37" s="268" t="str">
        <f t="shared" si="2"/>
        <v>3.10 - [Name of sub-vote]</v>
      </c>
      <c r="E37" s="271"/>
    </row>
    <row r="38" spans="2:5" x14ac:dyDescent="0.2">
      <c r="B38" s="276" t="s">
        <v>756</v>
      </c>
      <c r="C38" s="622" t="s">
        <v>1407</v>
      </c>
      <c r="E38" s="271"/>
    </row>
    <row r="39" spans="2:5" x14ac:dyDescent="0.2">
      <c r="B39" s="273">
        <v>4.0999999999999996</v>
      </c>
      <c r="C39" s="621" t="s">
        <v>1408</v>
      </c>
      <c r="D39" s="268" t="str">
        <f t="shared" ref="D39:D48" si="3">CONCATENATE(B39, " - ", C39)</f>
        <v>4.1 - FX001001003 - Cemeteries, Funeral Parlours and Crematoriums (Community and Social Services) - AA</v>
      </c>
      <c r="E39" s="623" t="s">
        <v>1421</v>
      </c>
    </row>
    <row r="40" spans="2:5" x14ac:dyDescent="0.2">
      <c r="B40" s="273">
        <v>4.2</v>
      </c>
      <c r="C40" s="621" t="s">
        <v>1409</v>
      </c>
      <c r="D40" s="268" t="str">
        <f t="shared" si="3"/>
        <v>4.2 - FX001001005002 - Halls (Community and Social Services) - AC</v>
      </c>
      <c r="E40" s="623" t="s">
        <v>1422</v>
      </c>
    </row>
    <row r="41" spans="2:5" x14ac:dyDescent="0.2">
      <c r="B41" s="273">
        <v>4.3</v>
      </c>
      <c r="C41" s="621" t="s">
        <v>1410</v>
      </c>
      <c r="D41" s="268" t="str">
        <f t="shared" si="3"/>
        <v>4.3 - FX001001006001 - Libraries and Archives (Community and Social Services) - AE</v>
      </c>
      <c r="E41" s="623" t="s">
        <v>1423</v>
      </c>
    </row>
    <row r="42" spans="2:5" x14ac:dyDescent="0.2">
      <c r="B42" s="273">
        <v>4.4000000000000004</v>
      </c>
      <c r="C42" s="621" t="s">
        <v>1411</v>
      </c>
      <c r="D42" s="268" t="str">
        <f t="shared" si="3"/>
        <v>4.4 - FX001001006002 - Cyber Cadets (Community and Social Services) - AF</v>
      </c>
      <c r="E42" s="623" t="s">
        <v>1424</v>
      </c>
    </row>
    <row r="43" spans="2:5" x14ac:dyDescent="0.2">
      <c r="B43" s="273">
        <v>4.5</v>
      </c>
      <c r="C43" s="621" t="s">
        <v>1412</v>
      </c>
      <c r="D43" s="268" t="str">
        <f t="shared" si="3"/>
        <v>4.5 - FX001001008 - Museums and Art Galleries (Community and Social Services) - AG</v>
      </c>
      <c r="E43" s="623" t="s">
        <v>1425</v>
      </c>
    </row>
    <row r="44" spans="2:5" x14ac:dyDescent="0.2">
      <c r="B44" s="273">
        <v>4.5999999999999996</v>
      </c>
      <c r="C44" s="621" t="s">
        <v>1413</v>
      </c>
      <c r="D44" s="268" t="str">
        <f t="shared" si="3"/>
        <v>4.6 - FX001002007 - Cultural Matters (Community and Social Services) - CV</v>
      </c>
      <c r="E44" s="623" t="s">
        <v>1426</v>
      </c>
    </row>
    <row r="45" spans="2:5" x14ac:dyDescent="0.2">
      <c r="B45" s="273">
        <v>4.7</v>
      </c>
      <c r="C45" s="621" t="s">
        <v>1414</v>
      </c>
      <c r="D45" s="268" t="str">
        <f t="shared" si="3"/>
        <v>4.7 - FX013001001 - Beaches and Jetties (Community and Social Services) - CS</v>
      </c>
      <c r="E45" s="623" t="s">
        <v>1427</v>
      </c>
    </row>
    <row r="46" spans="2:5" x14ac:dyDescent="0.2">
      <c r="B46" s="273">
        <v>4.8</v>
      </c>
      <c r="C46" s="621" t="s">
        <v>1415</v>
      </c>
      <c r="D46" s="268" t="str">
        <f t="shared" si="3"/>
        <v>4.8 - FX013001002 - Community Parks (including Nurseries) (Sport and Recreation) - CT</v>
      </c>
      <c r="E46" s="623" t="s">
        <v>1428</v>
      </c>
    </row>
    <row r="47" spans="2:5" x14ac:dyDescent="0.2">
      <c r="B47" s="273">
        <v>4.9000000000000004</v>
      </c>
      <c r="C47" s="621" t="s">
        <v>1416</v>
      </c>
      <c r="D47" s="268" t="str">
        <f t="shared" si="3"/>
        <v>4.9 - FX013002003001 - Recreational Facilities - Caravan Park (Sport and Recreation) - CW</v>
      </c>
      <c r="E47" s="623" t="s">
        <v>1429</v>
      </c>
    </row>
    <row r="48" spans="2:5" x14ac:dyDescent="0.2">
      <c r="B48" s="273" t="s">
        <v>946</v>
      </c>
      <c r="C48" s="621" t="s">
        <v>1417</v>
      </c>
      <c r="D48" s="268" t="str">
        <f t="shared" si="3"/>
        <v>4.10 - FX013002003002 - Recreational Facilities - Parks Administration (Sport and Recreation) - CX</v>
      </c>
      <c r="E48" s="623" t="s">
        <v>1430</v>
      </c>
    </row>
    <row r="49" spans="2:5" x14ac:dyDescent="0.2">
      <c r="B49" s="273" t="s">
        <v>1404</v>
      </c>
      <c r="C49" s="621" t="s">
        <v>1418</v>
      </c>
      <c r="E49" s="623" t="s">
        <v>1431</v>
      </c>
    </row>
    <row r="50" spans="2:5" x14ac:dyDescent="0.2">
      <c r="B50" s="273" t="s">
        <v>1405</v>
      </c>
      <c r="C50" s="621" t="s">
        <v>1419</v>
      </c>
      <c r="E50" s="623" t="s">
        <v>1432</v>
      </c>
    </row>
    <row r="51" spans="2:5" x14ac:dyDescent="0.2">
      <c r="B51" s="273" t="s">
        <v>1406</v>
      </c>
      <c r="C51" s="621" t="s">
        <v>1420</v>
      </c>
      <c r="E51" s="623" t="s">
        <v>1433</v>
      </c>
    </row>
    <row r="52" spans="2:5" x14ac:dyDescent="0.2">
      <c r="B52" s="276" t="s">
        <v>755</v>
      </c>
      <c r="C52" s="622" t="s">
        <v>1434</v>
      </c>
      <c r="E52" s="271"/>
    </row>
    <row r="53" spans="2:5" x14ac:dyDescent="0.2">
      <c r="B53" s="273">
        <v>5.0999999999999996</v>
      </c>
      <c r="C53" s="621" t="s">
        <v>1435</v>
      </c>
      <c r="D53" s="268" t="str">
        <f t="shared" ref="D53:D62" si="4">CONCATENATE(B53, " - ", C53)</f>
        <v>5.1 - FX001001005003 - Municipal Buildings (Community and Social Services) - AD</v>
      </c>
      <c r="E53" s="623" t="s">
        <v>1439</v>
      </c>
    </row>
    <row r="54" spans="2:5" x14ac:dyDescent="0.2">
      <c r="B54" s="273">
        <v>5.2</v>
      </c>
      <c r="C54" s="621" t="s">
        <v>1437</v>
      </c>
      <c r="D54" s="268" t="str">
        <f t="shared" si="4"/>
        <v>5.2 - FX005001001 - Administrative and Corporate Support (Finance and Administration) - BB</v>
      </c>
      <c r="E54" s="623" t="s">
        <v>1561</v>
      </c>
    </row>
    <row r="55" spans="2:5" x14ac:dyDescent="0.2">
      <c r="B55" s="273">
        <v>5.3</v>
      </c>
      <c r="C55" s="621" t="s">
        <v>1438</v>
      </c>
      <c r="D55" s="268" t="str">
        <f t="shared" si="4"/>
        <v>5.3 - FX009001002 - Air Transport (Other) - BV</v>
      </c>
      <c r="E55" s="623" t="s">
        <v>1562</v>
      </c>
    </row>
    <row r="56" spans="2:5" x14ac:dyDescent="0.2">
      <c r="B56" s="273">
        <v>5.4</v>
      </c>
      <c r="C56" s="621"/>
      <c r="D56" s="268" t="str">
        <f t="shared" si="4"/>
        <v xml:space="preserve">5.4 - </v>
      </c>
      <c r="E56" s="623"/>
    </row>
    <row r="57" spans="2:5" x14ac:dyDescent="0.2">
      <c r="B57" s="273">
        <v>5.5</v>
      </c>
      <c r="C57" s="272" t="s">
        <v>934</v>
      </c>
      <c r="D57" s="268" t="str">
        <f t="shared" si="4"/>
        <v>5.5 - [Name of sub-vote]</v>
      </c>
      <c r="E57" s="271"/>
    </row>
    <row r="58" spans="2:5" x14ac:dyDescent="0.2">
      <c r="B58" s="273">
        <v>5.6</v>
      </c>
      <c r="C58" s="272" t="s">
        <v>934</v>
      </c>
      <c r="D58" s="268" t="str">
        <f t="shared" si="4"/>
        <v>5.6 - [Name of sub-vote]</v>
      </c>
      <c r="E58" s="271"/>
    </row>
    <row r="59" spans="2:5" x14ac:dyDescent="0.2">
      <c r="B59" s="273">
        <v>5.7</v>
      </c>
      <c r="C59" s="272" t="s">
        <v>934</v>
      </c>
      <c r="D59" s="268" t="str">
        <f t="shared" si="4"/>
        <v>5.7 - [Name of sub-vote]</v>
      </c>
      <c r="E59" s="271"/>
    </row>
    <row r="60" spans="2:5" x14ac:dyDescent="0.2">
      <c r="B60" s="273">
        <v>5.8</v>
      </c>
      <c r="C60" s="272" t="s">
        <v>934</v>
      </c>
      <c r="D60" s="268" t="str">
        <f t="shared" si="4"/>
        <v>5.8 - [Name of sub-vote]</v>
      </c>
      <c r="E60" s="271"/>
    </row>
    <row r="61" spans="2:5" x14ac:dyDescent="0.2">
      <c r="B61" s="273">
        <v>5.9</v>
      </c>
      <c r="C61" s="272" t="s">
        <v>934</v>
      </c>
      <c r="D61" s="268" t="str">
        <f t="shared" si="4"/>
        <v>5.9 - [Name of sub-vote]</v>
      </c>
      <c r="E61" s="271"/>
    </row>
    <row r="62" spans="2:5" x14ac:dyDescent="0.2">
      <c r="B62" s="273" t="s">
        <v>945</v>
      </c>
      <c r="C62" s="272" t="s">
        <v>934</v>
      </c>
      <c r="D62" s="268" t="str">
        <f t="shared" si="4"/>
        <v>5.10 - [Name of sub-vote]</v>
      </c>
      <c r="E62" s="271"/>
    </row>
    <row r="63" spans="2:5" x14ac:dyDescent="0.2">
      <c r="B63" s="276" t="s">
        <v>754</v>
      </c>
      <c r="C63" s="622" t="s">
        <v>1440</v>
      </c>
      <c r="E63" s="271"/>
    </row>
    <row r="64" spans="2:5" x14ac:dyDescent="0.2">
      <c r="B64" s="273">
        <v>6.1</v>
      </c>
      <c r="C64" s="621" t="s">
        <v>1441</v>
      </c>
      <c r="D64" s="268" t="str">
        <f t="shared" ref="D64:D73" si="5">CONCATENATE(B64, " - ", C64)</f>
        <v>6.1 - FX005001007 - Information Technology (Finance and Administration) - BK</v>
      </c>
      <c r="E64" s="623" t="s">
        <v>1442</v>
      </c>
    </row>
    <row r="65" spans="2:5" x14ac:dyDescent="0.2">
      <c r="B65" s="273">
        <v>6.2</v>
      </c>
      <c r="C65" s="272" t="s">
        <v>934</v>
      </c>
      <c r="D65" s="268" t="str">
        <f t="shared" si="5"/>
        <v>6.2 - [Name of sub-vote]</v>
      </c>
      <c r="E65" s="271"/>
    </row>
    <row r="66" spans="2:5" x14ac:dyDescent="0.2">
      <c r="B66" s="273">
        <v>6.3</v>
      </c>
      <c r="C66" s="272" t="s">
        <v>934</v>
      </c>
      <c r="D66" s="268" t="str">
        <f t="shared" si="5"/>
        <v>6.3 - [Name of sub-vote]</v>
      </c>
      <c r="E66" s="271"/>
    </row>
    <row r="67" spans="2:5" x14ac:dyDescent="0.2">
      <c r="B67" s="273">
        <v>6.4</v>
      </c>
      <c r="C67" s="272" t="s">
        <v>934</v>
      </c>
      <c r="D67" s="268" t="str">
        <f t="shared" si="5"/>
        <v>6.4 - [Name of sub-vote]</v>
      </c>
      <c r="E67" s="271"/>
    </row>
    <row r="68" spans="2:5" x14ac:dyDescent="0.2">
      <c r="B68" s="273">
        <v>6.5</v>
      </c>
      <c r="C68" s="272" t="s">
        <v>934</v>
      </c>
      <c r="D68" s="268" t="str">
        <f t="shared" si="5"/>
        <v>6.5 - [Name of sub-vote]</v>
      </c>
      <c r="E68" s="271"/>
    </row>
    <row r="69" spans="2:5" x14ac:dyDescent="0.2">
      <c r="B69" s="273">
        <v>6.6</v>
      </c>
      <c r="C69" s="272" t="s">
        <v>934</v>
      </c>
      <c r="D69" s="268" t="str">
        <f t="shared" si="5"/>
        <v>6.6 - [Name of sub-vote]</v>
      </c>
      <c r="E69" s="271"/>
    </row>
    <row r="70" spans="2:5" x14ac:dyDescent="0.2">
      <c r="B70" s="273">
        <v>6.7</v>
      </c>
      <c r="C70" s="272" t="s">
        <v>934</v>
      </c>
      <c r="D70" s="268" t="str">
        <f t="shared" si="5"/>
        <v>6.7 - [Name of sub-vote]</v>
      </c>
      <c r="E70" s="271"/>
    </row>
    <row r="71" spans="2:5" x14ac:dyDescent="0.2">
      <c r="B71" s="273">
        <v>6.8</v>
      </c>
      <c r="C71" s="272" t="s">
        <v>934</v>
      </c>
      <c r="D71" s="268" t="str">
        <f t="shared" si="5"/>
        <v>6.8 - [Name of sub-vote]</v>
      </c>
      <c r="E71" s="271"/>
    </row>
    <row r="72" spans="2:5" x14ac:dyDescent="0.2">
      <c r="B72" s="273">
        <v>6.9</v>
      </c>
      <c r="C72" s="272" t="s">
        <v>934</v>
      </c>
      <c r="D72" s="268" t="str">
        <f t="shared" si="5"/>
        <v>6.9 - [Name of sub-vote]</v>
      </c>
      <c r="E72" s="271"/>
    </row>
    <row r="73" spans="2:5" x14ac:dyDescent="0.2">
      <c r="B73" s="273" t="s">
        <v>944</v>
      </c>
      <c r="C73" s="272" t="s">
        <v>934</v>
      </c>
      <c r="D73" s="268" t="str">
        <f t="shared" si="5"/>
        <v>6.10 - [Name of sub-vote]</v>
      </c>
      <c r="E73" s="271"/>
    </row>
    <row r="74" spans="2:5" x14ac:dyDescent="0.2">
      <c r="B74" s="275" t="s">
        <v>753</v>
      </c>
      <c r="C74" s="622" t="s">
        <v>1443</v>
      </c>
      <c r="E74" s="271"/>
    </row>
    <row r="75" spans="2:5" x14ac:dyDescent="0.2">
      <c r="B75" s="273">
        <v>7.1</v>
      </c>
      <c r="C75" s="621" t="s">
        <v>1444</v>
      </c>
      <c r="D75" s="268" t="str">
        <f t="shared" ref="D75:D84" si="6">CONCATENATE(B75, " - ", C75)</f>
        <v>7.1 - FX005001006001 - Human Resources (Finance and Administration) - BG</v>
      </c>
      <c r="E75" s="623" t="s">
        <v>1448</v>
      </c>
    </row>
    <row r="76" spans="2:5" x14ac:dyDescent="0.2">
      <c r="B76" s="273">
        <v>7.2</v>
      </c>
      <c r="C76" s="621" t="s">
        <v>1445</v>
      </c>
      <c r="D76" s="268" t="str">
        <f t="shared" si="6"/>
        <v>7.2 - FX005001006002 - Management Services  (Finance and Administration) - BH</v>
      </c>
      <c r="E76" s="623" t="s">
        <v>1449</v>
      </c>
    </row>
    <row r="77" spans="2:5" x14ac:dyDescent="0.2">
      <c r="B77" s="273">
        <v>7.3</v>
      </c>
      <c r="C77" s="621" t="s">
        <v>1446</v>
      </c>
      <c r="D77" s="268" t="str">
        <f t="shared" si="6"/>
        <v>7.3 - FX005001006004 - Training and Industrial Relations (Finance and Administration) - BJ</v>
      </c>
      <c r="E77" s="623" t="s">
        <v>1450</v>
      </c>
    </row>
    <row r="78" spans="2:5" x14ac:dyDescent="0.2">
      <c r="B78" s="273">
        <v>7.4</v>
      </c>
      <c r="C78" s="621" t="s">
        <v>1447</v>
      </c>
      <c r="D78" s="268" t="str">
        <f t="shared" si="6"/>
        <v>7.4 - FX005001006003 - Occupational Clinic (Finance and Administration) - BI</v>
      </c>
      <c r="E78" s="623" t="s">
        <v>1451</v>
      </c>
    </row>
    <row r="79" spans="2:5" x14ac:dyDescent="0.2">
      <c r="B79" s="273">
        <v>7.5</v>
      </c>
      <c r="C79" s="272" t="s">
        <v>934</v>
      </c>
      <c r="D79" s="268" t="str">
        <f t="shared" si="6"/>
        <v>7.5 - [Name of sub-vote]</v>
      </c>
      <c r="E79" s="271"/>
    </row>
    <row r="80" spans="2:5" x14ac:dyDescent="0.2">
      <c r="B80" s="273">
        <v>7.6</v>
      </c>
      <c r="C80" s="272" t="s">
        <v>934</v>
      </c>
      <c r="D80" s="268" t="str">
        <f t="shared" si="6"/>
        <v>7.6 - [Name of sub-vote]</v>
      </c>
      <c r="E80" s="271"/>
    </row>
    <row r="81" spans="2:5" x14ac:dyDescent="0.2">
      <c r="B81" s="273">
        <v>7.7</v>
      </c>
      <c r="C81" s="272" t="s">
        <v>934</v>
      </c>
      <c r="D81" s="268" t="str">
        <f t="shared" si="6"/>
        <v>7.7 - [Name of sub-vote]</v>
      </c>
      <c r="E81" s="271"/>
    </row>
    <row r="82" spans="2:5" x14ac:dyDescent="0.2">
      <c r="B82" s="273">
        <v>7.8</v>
      </c>
      <c r="C82" s="272" t="s">
        <v>934</v>
      </c>
      <c r="D82" s="268" t="str">
        <f t="shared" si="6"/>
        <v>7.8 - [Name of sub-vote]</v>
      </c>
      <c r="E82" s="271"/>
    </row>
    <row r="83" spans="2:5" x14ac:dyDescent="0.2">
      <c r="B83" s="273">
        <v>7.9</v>
      </c>
      <c r="C83" s="272" t="s">
        <v>934</v>
      </c>
      <c r="D83" s="268" t="str">
        <f t="shared" si="6"/>
        <v>7.9 - [Name of sub-vote]</v>
      </c>
      <c r="E83" s="271"/>
    </row>
    <row r="84" spans="2:5" x14ac:dyDescent="0.2">
      <c r="B84" s="273" t="s">
        <v>943</v>
      </c>
      <c r="C84" s="272" t="s">
        <v>934</v>
      </c>
      <c r="D84" s="268" t="str">
        <f t="shared" si="6"/>
        <v>7.10 - [Name of sub-vote]</v>
      </c>
      <c r="E84" s="271"/>
    </row>
    <row r="85" spans="2:5" x14ac:dyDescent="0.2">
      <c r="B85" s="275" t="s">
        <v>752</v>
      </c>
      <c r="C85" s="622" t="s">
        <v>1452</v>
      </c>
      <c r="E85" s="271"/>
    </row>
    <row r="86" spans="2:5" x14ac:dyDescent="0.2">
      <c r="B86" s="273">
        <v>8.1</v>
      </c>
      <c r="C86" s="621" t="s">
        <v>1453</v>
      </c>
      <c r="D86" s="268" t="str">
        <f t="shared" ref="D86:D95" si="7">CONCATENATE(B86, " - ", C86)</f>
        <v>8.1 - FX005001004001 - Financial Management Grant Interns (Finance and Administration) - DR</v>
      </c>
      <c r="E86" s="623" t="s">
        <v>1458</v>
      </c>
    </row>
    <row r="87" spans="2:5" x14ac:dyDescent="0.2">
      <c r="B87" s="273">
        <v>8.1999999999999993</v>
      </c>
      <c r="C87" s="621" t="s">
        <v>1454</v>
      </c>
      <c r="D87" s="268" t="str">
        <f t="shared" si="7"/>
        <v>8.2 - FX005001004002 - Revenue and Expenditure (Finance and Administration) - DS</v>
      </c>
      <c r="E87" s="623" t="s">
        <v>1459</v>
      </c>
    </row>
    <row r="88" spans="2:5" x14ac:dyDescent="0.2">
      <c r="B88" s="273">
        <v>8.3000000000000007</v>
      </c>
      <c r="C88" s="621" t="s">
        <v>1455</v>
      </c>
      <c r="D88" s="268" t="str">
        <f t="shared" si="7"/>
        <v>8.3 - FX005001004003 - Finance (Finance and Adminstration) - DT</v>
      </c>
      <c r="E88" s="623" t="s">
        <v>1460</v>
      </c>
    </row>
    <row r="89" spans="2:5" x14ac:dyDescent="0.2">
      <c r="B89" s="273">
        <v>8.4</v>
      </c>
      <c r="C89" s="621" t="s">
        <v>1456</v>
      </c>
      <c r="D89" s="268" t="str">
        <f t="shared" si="7"/>
        <v>8.4 - FX005001013 - Supply Chain Management (Finance and Administration) - BQ</v>
      </c>
      <c r="E89" s="623" t="s">
        <v>1461</v>
      </c>
    </row>
    <row r="90" spans="2:5" x14ac:dyDescent="0.2">
      <c r="B90" s="273">
        <v>8.5</v>
      </c>
      <c r="C90" s="621" t="s">
        <v>1457</v>
      </c>
      <c r="D90" s="268" t="str">
        <f t="shared" si="7"/>
        <v>8.5 - FX005002001 - Asset Management (Finance and Administration) - BS</v>
      </c>
      <c r="E90" s="623" t="s">
        <v>1462</v>
      </c>
    </row>
    <row r="91" spans="2:5" x14ac:dyDescent="0.2">
      <c r="B91" s="273">
        <v>8.6</v>
      </c>
      <c r="C91" s="272" t="s">
        <v>934</v>
      </c>
      <c r="D91" s="268" t="str">
        <f t="shared" si="7"/>
        <v>8.6 - [Name of sub-vote]</v>
      </c>
      <c r="E91" s="271"/>
    </row>
    <row r="92" spans="2:5" x14ac:dyDescent="0.2">
      <c r="B92" s="273">
        <v>8.6999999999999993</v>
      </c>
      <c r="C92" s="272" t="s">
        <v>934</v>
      </c>
      <c r="D92" s="268" t="str">
        <f t="shared" si="7"/>
        <v>8.7 - [Name of sub-vote]</v>
      </c>
      <c r="E92" s="271"/>
    </row>
    <row r="93" spans="2:5" x14ac:dyDescent="0.2">
      <c r="B93" s="273">
        <v>8.8000000000000007</v>
      </c>
      <c r="C93" s="272" t="s">
        <v>934</v>
      </c>
      <c r="D93" s="268" t="str">
        <f t="shared" si="7"/>
        <v>8.8 - [Name of sub-vote]</v>
      </c>
      <c r="E93" s="271"/>
    </row>
    <row r="94" spans="2:5" x14ac:dyDescent="0.2">
      <c r="B94" s="273">
        <v>8.9</v>
      </c>
      <c r="C94" s="272" t="s">
        <v>934</v>
      </c>
      <c r="D94" s="268" t="str">
        <f t="shared" si="7"/>
        <v>8.9 - [Name of sub-vote]</v>
      </c>
      <c r="E94" s="271"/>
    </row>
    <row r="95" spans="2:5" x14ac:dyDescent="0.2">
      <c r="B95" s="273" t="s">
        <v>942</v>
      </c>
      <c r="C95" s="272" t="s">
        <v>934</v>
      </c>
      <c r="D95" s="268" t="str">
        <f t="shared" si="7"/>
        <v>8.10 - [Name of sub-vote]</v>
      </c>
      <c r="E95" s="271"/>
    </row>
    <row r="96" spans="2:5" x14ac:dyDescent="0.2">
      <c r="B96" s="275" t="s">
        <v>751</v>
      </c>
      <c r="C96" s="622" t="s">
        <v>1463</v>
      </c>
      <c r="E96" s="271"/>
    </row>
    <row r="97" spans="2:5" x14ac:dyDescent="0.2">
      <c r="B97" s="273">
        <v>9.1</v>
      </c>
      <c r="C97" s="621" t="s">
        <v>1464</v>
      </c>
      <c r="D97" s="268" t="str">
        <f t="shared" ref="D97:D106" si="8">CONCATENATE(B97, " - ", C97)</f>
        <v>9.1 - FX002001001001 - Marketing and Customer relations (Energy Sources) - AI</v>
      </c>
      <c r="E97" s="623" t="s">
        <v>1471</v>
      </c>
    </row>
    <row r="98" spans="2:5" x14ac:dyDescent="0.2">
      <c r="B98" s="273">
        <v>9.1999999999999993</v>
      </c>
      <c r="C98" s="621" t="s">
        <v>1465</v>
      </c>
      <c r="D98" s="268" t="str">
        <f t="shared" si="8"/>
        <v>9.2 - FX002001001002 - Administration (Energy Sources) - AJ</v>
      </c>
      <c r="E98" s="623" t="s">
        <v>1472</v>
      </c>
    </row>
    <row r="99" spans="2:5" x14ac:dyDescent="0.2">
      <c r="B99" s="273">
        <v>9.3000000000000007</v>
      </c>
      <c r="C99" s="621" t="s">
        <v>1466</v>
      </c>
      <c r="D99" s="268" t="str">
        <f t="shared" si="8"/>
        <v>9.3 - FX002001001004 - Electricity Distribution (Energy Sources) - AL</v>
      </c>
      <c r="E99" s="623" t="s">
        <v>1473</v>
      </c>
    </row>
    <row r="100" spans="2:5" x14ac:dyDescent="0.2">
      <c r="B100" s="273">
        <v>9.4</v>
      </c>
      <c r="C100" s="621" t="s">
        <v>1467</v>
      </c>
      <c r="D100" s="268" t="str">
        <f t="shared" si="8"/>
        <v>9.4 - FX002001001005 - Electricity Planning (Energy Sources) - AN</v>
      </c>
      <c r="E100" s="623" t="s">
        <v>1474</v>
      </c>
    </row>
    <row r="101" spans="2:5" x14ac:dyDescent="0.2">
      <c r="B101" s="273">
        <v>9.5</v>
      </c>
      <c r="C101" s="621" t="s">
        <v>1468</v>
      </c>
      <c r="D101" s="268" t="str">
        <f t="shared" si="8"/>
        <v>9.5 - FX002001002001 - Street Lighting (Energy Sources) - AP</v>
      </c>
      <c r="E101" s="623" t="s">
        <v>1475</v>
      </c>
    </row>
    <row r="102" spans="2:5" x14ac:dyDescent="0.2">
      <c r="B102" s="273">
        <v>9.6</v>
      </c>
      <c r="C102" s="621" t="s">
        <v>1469</v>
      </c>
      <c r="D102" s="268" t="str">
        <f t="shared" si="8"/>
        <v>9.6 - FX002001002002 - Process Control Systems (Energy Sources) - AQ</v>
      </c>
      <c r="E102" s="623" t="s">
        <v>1476</v>
      </c>
    </row>
    <row r="103" spans="2:5" x14ac:dyDescent="0.2">
      <c r="B103" s="273">
        <v>9.6999999999999993</v>
      </c>
      <c r="C103" s="621" t="s">
        <v>1470</v>
      </c>
      <c r="D103" s="268" t="str">
        <f t="shared" si="8"/>
        <v>9.7 - FX005001005 - Fleet Management (Finance and Administration) - BF</v>
      </c>
      <c r="E103" s="623" t="s">
        <v>1477</v>
      </c>
    </row>
    <row r="104" spans="2:5" x14ac:dyDescent="0.2">
      <c r="B104" s="273">
        <v>9.8000000000000007</v>
      </c>
      <c r="C104" s="272" t="s">
        <v>934</v>
      </c>
      <c r="D104" s="268" t="str">
        <f t="shared" si="8"/>
        <v>9.8 - [Name of sub-vote]</v>
      </c>
      <c r="E104" s="271"/>
    </row>
    <row r="105" spans="2:5" x14ac:dyDescent="0.2">
      <c r="B105" s="273">
        <v>9.9</v>
      </c>
      <c r="C105" s="272" t="s">
        <v>934</v>
      </c>
      <c r="D105" s="268" t="str">
        <f t="shared" si="8"/>
        <v>9.9 - [Name of sub-vote]</v>
      </c>
      <c r="E105" s="271"/>
    </row>
    <row r="106" spans="2:5" x14ac:dyDescent="0.2">
      <c r="B106" s="273" t="s">
        <v>941</v>
      </c>
      <c r="C106" s="272" t="s">
        <v>934</v>
      </c>
      <c r="D106" s="268" t="str">
        <f t="shared" si="8"/>
        <v>9.10 - [Name of sub-vote]</v>
      </c>
      <c r="E106" s="271"/>
    </row>
    <row r="107" spans="2:5" x14ac:dyDescent="0.2">
      <c r="B107" s="275" t="s">
        <v>750</v>
      </c>
      <c r="C107" s="622" t="s">
        <v>1478</v>
      </c>
      <c r="E107" s="271"/>
    </row>
    <row r="108" spans="2:5" x14ac:dyDescent="0.2">
      <c r="B108" s="273">
        <v>10.1</v>
      </c>
      <c r="C108" s="621" t="s">
        <v>1479</v>
      </c>
      <c r="D108" s="268" t="str">
        <f t="shared" ref="D108:D117" si="9">CONCATENATE(B108, " - ", C108)</f>
        <v>10.1 - FX001001005001 - Buildings Maintenance (Community and Social Services) - AB</v>
      </c>
      <c r="E108" s="623" t="s">
        <v>1481</v>
      </c>
    </row>
    <row r="109" spans="2:5" x14ac:dyDescent="0.2">
      <c r="B109" s="273">
        <v>10.199999999999999</v>
      </c>
      <c r="C109" s="621" t="s">
        <v>1480</v>
      </c>
      <c r="D109" s="268" t="str">
        <f t="shared" si="9"/>
        <v>10.2 - FX010001007002 - Project Management Unit - Asset Management (Planning and Development) - CF</v>
      </c>
      <c r="E109" s="623" t="s">
        <v>1482</v>
      </c>
    </row>
    <row r="110" spans="2:5" x14ac:dyDescent="0.2">
      <c r="B110" s="273">
        <v>10.3</v>
      </c>
      <c r="C110" s="272" t="s">
        <v>934</v>
      </c>
      <c r="D110" s="268" t="str">
        <f t="shared" si="9"/>
        <v>10.3 - [Name of sub-vote]</v>
      </c>
      <c r="E110" s="271"/>
    </row>
    <row r="111" spans="2:5" x14ac:dyDescent="0.2">
      <c r="B111" s="273">
        <v>10.4</v>
      </c>
      <c r="C111" s="272" t="s">
        <v>934</v>
      </c>
      <c r="D111" s="268" t="str">
        <f t="shared" si="9"/>
        <v>10.4 - [Name of sub-vote]</v>
      </c>
      <c r="E111" s="271"/>
    </row>
    <row r="112" spans="2:5" x14ac:dyDescent="0.2">
      <c r="B112" s="273">
        <v>10.5</v>
      </c>
      <c r="C112" s="272" t="s">
        <v>934</v>
      </c>
      <c r="D112" s="268" t="str">
        <f t="shared" si="9"/>
        <v>10.5 - [Name of sub-vote]</v>
      </c>
      <c r="E112" s="271"/>
    </row>
    <row r="113" spans="2:5" x14ac:dyDescent="0.2">
      <c r="B113" s="273">
        <v>10.6</v>
      </c>
      <c r="C113" s="272" t="s">
        <v>934</v>
      </c>
      <c r="D113" s="268" t="str">
        <f t="shared" si="9"/>
        <v>10.6 - [Name of sub-vote]</v>
      </c>
      <c r="E113" s="271"/>
    </row>
    <row r="114" spans="2:5" x14ac:dyDescent="0.2">
      <c r="B114" s="273">
        <v>10.7</v>
      </c>
      <c r="C114" s="272" t="s">
        <v>934</v>
      </c>
      <c r="D114" s="268" t="str">
        <f t="shared" si="9"/>
        <v>10.7 - [Name of sub-vote]</v>
      </c>
      <c r="E114" s="271"/>
    </row>
    <row r="115" spans="2:5" x14ac:dyDescent="0.2">
      <c r="B115" s="273">
        <v>10.8</v>
      </c>
      <c r="C115" s="272" t="s">
        <v>934</v>
      </c>
      <c r="D115" s="268" t="str">
        <f t="shared" si="9"/>
        <v>10.8 - [Name of sub-vote]</v>
      </c>
      <c r="E115" s="271"/>
    </row>
    <row r="116" spans="2:5" x14ac:dyDescent="0.2">
      <c r="B116" s="273">
        <v>10.9</v>
      </c>
      <c r="C116" s="272" t="s">
        <v>934</v>
      </c>
      <c r="D116" s="268" t="str">
        <f t="shared" si="9"/>
        <v>10.9 - [Name of sub-vote]</v>
      </c>
      <c r="E116" s="271"/>
    </row>
    <row r="117" spans="2:5" x14ac:dyDescent="0.2">
      <c r="B117" s="273" t="s">
        <v>940</v>
      </c>
      <c r="C117" s="272" t="s">
        <v>934</v>
      </c>
      <c r="D117" s="268" t="str">
        <f t="shared" si="9"/>
        <v>10.10 - [Name of sub-vote]</v>
      </c>
      <c r="E117" s="271"/>
    </row>
    <row r="118" spans="2:5" x14ac:dyDescent="0.2">
      <c r="B118" s="275" t="s">
        <v>749</v>
      </c>
      <c r="C118" s="622" t="s">
        <v>1486</v>
      </c>
      <c r="E118" s="271"/>
    </row>
    <row r="119" spans="2:5" x14ac:dyDescent="0.2">
      <c r="B119" s="273">
        <v>11.1</v>
      </c>
      <c r="C119" s="621" t="s">
        <v>1487</v>
      </c>
      <c r="D119" s="268" t="str">
        <f t="shared" ref="D119:D128" si="10">CONCATENATE(B119, " - ", C119)</f>
        <v>11.1 - FX012001004001 - Roads - Railway Sidings (Road Transport) - CM</v>
      </c>
      <c r="E119" s="268" t="s">
        <v>1500</v>
      </c>
    </row>
    <row r="120" spans="2:5" x14ac:dyDescent="0.2">
      <c r="B120" s="273">
        <v>11.2</v>
      </c>
      <c r="C120" s="621" t="s">
        <v>1488</v>
      </c>
      <c r="D120" s="268" t="str">
        <f t="shared" si="10"/>
        <v>11.2 - FX012001004002 - Roads - Urban Roads (Road Transport) - CN</v>
      </c>
      <c r="E120" s="268" t="s">
        <v>1501</v>
      </c>
    </row>
    <row r="121" spans="2:5" x14ac:dyDescent="0.2">
      <c r="B121" s="273">
        <v>11.3</v>
      </c>
      <c r="C121" s="621" t="s">
        <v>1489</v>
      </c>
      <c r="D121" s="268" t="str">
        <f t="shared" si="10"/>
        <v>11.3 - FX012001004003 - Roads - Rural Roads (Road Transport) - CO</v>
      </c>
      <c r="E121" s="268" t="s">
        <v>1502</v>
      </c>
    </row>
    <row r="122" spans="2:5" x14ac:dyDescent="0.2">
      <c r="B122" s="273">
        <v>11.4</v>
      </c>
      <c r="C122" s="621" t="s">
        <v>1490</v>
      </c>
      <c r="D122" s="268" t="str">
        <f t="shared" si="10"/>
        <v>11.4 - FX015001003 - Storm Water Management (Waste Water Management) - DJ</v>
      </c>
      <c r="E122" s="268" t="s">
        <v>1503</v>
      </c>
    </row>
    <row r="123" spans="2:5" x14ac:dyDescent="0.2">
      <c r="B123" s="273">
        <v>11.5</v>
      </c>
      <c r="C123" s="621" t="s">
        <v>1491</v>
      </c>
      <c r="D123" s="268" t="str">
        <f t="shared" si="10"/>
        <v>11.5 - FX003001002 - Coastal Protection (Environmental Protection) - DU</v>
      </c>
      <c r="E123" s="268" t="s">
        <v>1504</v>
      </c>
    </row>
    <row r="124" spans="2:5" x14ac:dyDescent="0.2">
      <c r="B124" s="273">
        <v>11.6</v>
      </c>
      <c r="C124" s="621" t="s">
        <v>1492</v>
      </c>
      <c r="D124" s="268" t="str">
        <f t="shared" si="10"/>
        <v>11.6 - FX015001002001 - Sewerage - Industrial Effluent Pipeline (Waste Water Management) - DG</v>
      </c>
      <c r="E124" s="268" t="s">
        <v>1505</v>
      </c>
    </row>
    <row r="125" spans="2:5" x14ac:dyDescent="0.2">
      <c r="B125" s="273">
        <v>11.7</v>
      </c>
      <c r="C125" s="621" t="s">
        <v>1493</v>
      </c>
      <c r="D125" s="268" t="str">
        <f t="shared" si="10"/>
        <v>11.7 - FX015001002002 - Sewerage - Pumpstations (Waste Water Management) - DH</v>
      </c>
      <c r="E125" s="268" t="s">
        <v>1506</v>
      </c>
    </row>
    <row r="126" spans="2:5" x14ac:dyDescent="0.2">
      <c r="B126" s="273">
        <v>11.8</v>
      </c>
      <c r="C126" s="621" t="s">
        <v>1494</v>
      </c>
      <c r="D126" s="268" t="str">
        <f t="shared" si="10"/>
        <v>11.8 - FX015001002003 - Sewerage - Sewerage Network (Waste Water Management) - DI</v>
      </c>
      <c r="E126" s="268" t="s">
        <v>1507</v>
      </c>
    </row>
    <row r="127" spans="2:5" x14ac:dyDescent="0.2">
      <c r="B127" s="273">
        <v>11.9</v>
      </c>
      <c r="C127" s="621" t="s">
        <v>1495</v>
      </c>
      <c r="D127" s="268" t="str">
        <f t="shared" si="10"/>
        <v>11.9 - FX015001004 - Treatment (Waste Water Management) - DK</v>
      </c>
      <c r="E127" s="268" t="s">
        <v>1508</v>
      </c>
    </row>
    <row r="128" spans="2:5" x14ac:dyDescent="0.2">
      <c r="B128" s="273" t="s">
        <v>939</v>
      </c>
      <c r="C128" s="621" t="s">
        <v>1496</v>
      </c>
      <c r="D128" s="268" t="str">
        <f t="shared" si="10"/>
        <v>11.10 - FX016001002004 - Water Distribution (Clarified Water) - DP</v>
      </c>
      <c r="E128" s="268" t="s">
        <v>1509</v>
      </c>
    </row>
    <row r="129" spans="2:5" x14ac:dyDescent="0.2">
      <c r="B129" s="273" t="s">
        <v>1483</v>
      </c>
      <c r="C129" s="621" t="s">
        <v>1497</v>
      </c>
      <c r="E129" s="268" t="s">
        <v>1510</v>
      </c>
    </row>
    <row r="130" spans="2:5" x14ac:dyDescent="0.2">
      <c r="B130" s="273" t="s">
        <v>1484</v>
      </c>
      <c r="C130" s="621" t="s">
        <v>1498</v>
      </c>
      <c r="E130" s="268" t="s">
        <v>1511</v>
      </c>
    </row>
    <row r="131" spans="2:5" x14ac:dyDescent="0.2">
      <c r="B131" s="273" t="s">
        <v>1485</v>
      </c>
      <c r="C131" s="621" t="s">
        <v>1499</v>
      </c>
      <c r="E131" s="268" t="s">
        <v>1512</v>
      </c>
    </row>
    <row r="132" spans="2:5" x14ac:dyDescent="0.2">
      <c r="B132" s="275" t="s">
        <v>748</v>
      </c>
      <c r="C132" s="622" t="s">
        <v>1513</v>
      </c>
      <c r="E132" s="271"/>
    </row>
    <row r="133" spans="2:5" x14ac:dyDescent="0.2">
      <c r="B133" s="273">
        <v>12.1</v>
      </c>
      <c r="C133" s="621" t="s">
        <v>1514</v>
      </c>
      <c r="D133" s="268" t="str">
        <f t="shared" ref="D133:D142" si="11">CONCATENATE(B133, " - ", C133)</f>
        <v>12.1 - FX010001007001 - Project Management Unit - Administration (Planning and Development) - CE</v>
      </c>
      <c r="E133" s="623" t="s">
        <v>1516</v>
      </c>
    </row>
    <row r="134" spans="2:5" x14ac:dyDescent="0.2">
      <c r="B134" s="273">
        <v>12.2</v>
      </c>
      <c r="C134" s="621" t="s">
        <v>1515</v>
      </c>
      <c r="D134" s="268" t="str">
        <f t="shared" si="11"/>
        <v>12.2 - FX010001007005 - Project Management Unit - PMU (Planning and Development) - CI</v>
      </c>
      <c r="E134" s="623" t="s">
        <v>1517</v>
      </c>
    </row>
    <row r="135" spans="2:5" x14ac:dyDescent="0.2">
      <c r="B135" s="273">
        <v>12.3</v>
      </c>
      <c r="C135" s="272" t="s">
        <v>934</v>
      </c>
      <c r="D135" s="268" t="str">
        <f t="shared" si="11"/>
        <v>12.3 - [Name of sub-vote]</v>
      </c>
      <c r="E135" s="623"/>
    </row>
    <row r="136" spans="2:5" x14ac:dyDescent="0.2">
      <c r="B136" s="273">
        <v>12.4</v>
      </c>
      <c r="C136" s="272" t="s">
        <v>934</v>
      </c>
      <c r="D136" s="268" t="str">
        <f t="shared" si="11"/>
        <v>12.4 - [Name of sub-vote]</v>
      </c>
      <c r="E136" s="271"/>
    </row>
    <row r="137" spans="2:5" x14ac:dyDescent="0.2">
      <c r="B137" s="273">
        <v>12.5</v>
      </c>
      <c r="C137" s="272" t="s">
        <v>934</v>
      </c>
      <c r="D137" s="268" t="str">
        <f t="shared" si="11"/>
        <v>12.5 - [Name of sub-vote]</v>
      </c>
      <c r="E137" s="271"/>
    </row>
    <row r="138" spans="2:5" x14ac:dyDescent="0.2">
      <c r="B138" s="273">
        <v>12.6</v>
      </c>
      <c r="C138" s="272" t="s">
        <v>934</v>
      </c>
      <c r="D138" s="268" t="str">
        <f t="shared" si="11"/>
        <v>12.6 - [Name of sub-vote]</v>
      </c>
      <c r="E138" s="271"/>
    </row>
    <row r="139" spans="2:5" x14ac:dyDescent="0.2">
      <c r="B139" s="273">
        <v>12.7</v>
      </c>
      <c r="C139" s="272" t="s">
        <v>934</v>
      </c>
      <c r="D139" s="268" t="str">
        <f t="shared" si="11"/>
        <v>12.7 - [Name of sub-vote]</v>
      </c>
      <c r="E139" s="271"/>
    </row>
    <row r="140" spans="2:5" x14ac:dyDescent="0.2">
      <c r="B140" s="273">
        <v>12.8</v>
      </c>
      <c r="C140" s="272" t="s">
        <v>934</v>
      </c>
      <c r="D140" s="268" t="str">
        <f t="shared" si="11"/>
        <v>12.8 - [Name of sub-vote]</v>
      </c>
      <c r="E140" s="271"/>
    </row>
    <row r="141" spans="2:5" x14ac:dyDescent="0.2">
      <c r="B141" s="273">
        <v>12.9</v>
      </c>
      <c r="C141" s="272" t="s">
        <v>934</v>
      </c>
      <c r="D141" s="268" t="str">
        <f t="shared" si="11"/>
        <v>12.9 - [Name of sub-vote]</v>
      </c>
      <c r="E141" s="271"/>
    </row>
    <row r="142" spans="2:5" x14ac:dyDescent="0.2">
      <c r="B142" s="273" t="s">
        <v>938</v>
      </c>
      <c r="C142" s="272" t="s">
        <v>934</v>
      </c>
      <c r="D142" s="268" t="str">
        <f t="shared" si="11"/>
        <v>12.10 - [Name of sub-vote]</v>
      </c>
      <c r="E142" s="271"/>
    </row>
    <row r="143" spans="2:5" x14ac:dyDescent="0.2">
      <c r="B143" s="275" t="s">
        <v>747</v>
      </c>
      <c r="C143" s="622" t="s">
        <v>1518</v>
      </c>
      <c r="E143" s="271"/>
    </row>
    <row r="144" spans="2:5" x14ac:dyDescent="0.2">
      <c r="B144" s="273">
        <v>13.1</v>
      </c>
      <c r="C144" s="621" t="s">
        <v>1436</v>
      </c>
      <c r="D144" s="268" t="str">
        <f t="shared" ref="D144:D153" si="12">CONCATENATE(B144, " - ", C144)</f>
        <v>13.1 - FX004001001001 - Mayor and Council (Executive and Council) - AS</v>
      </c>
      <c r="E144" s="623" t="s">
        <v>1563</v>
      </c>
    </row>
    <row r="145" spans="2:5" x14ac:dyDescent="0.2">
      <c r="B145" s="273">
        <v>13.2</v>
      </c>
      <c r="C145" s="621" t="s">
        <v>1519</v>
      </c>
      <c r="D145" s="268" t="str">
        <f t="shared" si="12"/>
        <v>13.2 - FX004001002001 - DMM - Corporate Services (Executive and Council) - AU</v>
      </c>
      <c r="E145" s="623" t="s">
        <v>1564</v>
      </c>
    </row>
    <row r="146" spans="2:5" x14ac:dyDescent="0.2">
      <c r="B146" s="273">
        <v>13.3</v>
      </c>
      <c r="C146" s="621" t="s">
        <v>1520</v>
      </c>
      <c r="D146" s="268" t="str">
        <f t="shared" si="12"/>
        <v>13.3 - FX004001002002 - DMM - ITS (Executive and Council) - AV</v>
      </c>
      <c r="E146" s="623" t="s">
        <v>1565</v>
      </c>
    </row>
    <row r="147" spans="2:5" x14ac:dyDescent="0.2">
      <c r="B147" s="273">
        <v>13.4</v>
      </c>
      <c r="C147" s="621" t="s">
        <v>1521</v>
      </c>
      <c r="D147" s="268" t="str">
        <f t="shared" si="12"/>
        <v>13.4 - FX004001002003 -  DMM - City Development (Executive and Council) - AW</v>
      </c>
      <c r="E147" s="623" t="s">
        <v>1566</v>
      </c>
    </row>
    <row r="148" spans="2:5" x14ac:dyDescent="0.2">
      <c r="B148" s="273">
        <v>13.5</v>
      </c>
      <c r="C148" s="621" t="s">
        <v>1522</v>
      </c>
      <c r="D148" s="268" t="str">
        <f t="shared" si="12"/>
        <v>13.5 - FX004001002004 - DMM - Community Services (Executive and Council) - AX</v>
      </c>
      <c r="E148" s="623" t="s">
        <v>1567</v>
      </c>
    </row>
    <row r="149" spans="2:5" x14ac:dyDescent="0.2">
      <c r="B149" s="273">
        <v>13.6</v>
      </c>
      <c r="C149" s="621" t="s">
        <v>1523</v>
      </c>
      <c r="D149" s="268" t="str">
        <f t="shared" si="12"/>
        <v>13.6 - FX004001002005 -  Municipal Manager (Executive and Council) - AY</v>
      </c>
      <c r="E149" s="623" t="s">
        <v>1568</v>
      </c>
    </row>
    <row r="150" spans="2:5" x14ac:dyDescent="0.2">
      <c r="B150" s="273">
        <v>13.7</v>
      </c>
      <c r="C150" s="621" t="s">
        <v>1524</v>
      </c>
      <c r="D150" s="268" t="str">
        <f t="shared" si="12"/>
        <v>13.7 - FX004001002007 - Performance Management (Executive and Council) - BA</v>
      </c>
      <c r="E150" s="623" t="s">
        <v>1569</v>
      </c>
    </row>
    <row r="151" spans="2:5" x14ac:dyDescent="0.2">
      <c r="B151" s="273">
        <v>13.8</v>
      </c>
      <c r="C151" s="621" t="s">
        <v>1525</v>
      </c>
      <c r="D151" s="268" t="str">
        <f t="shared" si="12"/>
        <v>13.8 - FX005001009 - Marketing, Customer Relations, Publicity and Media Co-ordination (Finance and Administration) - BM</v>
      </c>
      <c r="E151" s="623" t="s">
        <v>1570</v>
      </c>
    </row>
    <row r="152" spans="2:5" x14ac:dyDescent="0.2">
      <c r="B152" s="273">
        <v>13.9</v>
      </c>
      <c r="C152" s="621" t="s">
        <v>1526</v>
      </c>
      <c r="D152" s="268" t="str">
        <f t="shared" si="12"/>
        <v>13.9 - FX004001002008 - DMM - Chief Operations Officer (Executive and Council) - BC</v>
      </c>
      <c r="E152" s="623" t="s">
        <v>1571</v>
      </c>
    </row>
    <row r="153" spans="2:5" x14ac:dyDescent="0.2">
      <c r="B153" s="273" t="s">
        <v>937</v>
      </c>
      <c r="C153" s="621" t="s">
        <v>1527</v>
      </c>
      <c r="D153" s="268" t="str">
        <f t="shared" si="12"/>
        <v>13.10 - FX005001011 - Risk Management (Finance and Administration) - BO</v>
      </c>
      <c r="E153" s="623" t="s">
        <v>1572</v>
      </c>
    </row>
    <row r="154" spans="2:5" x14ac:dyDescent="0.2">
      <c r="B154" s="273" t="s">
        <v>1532</v>
      </c>
      <c r="C154" s="621" t="s">
        <v>1528</v>
      </c>
      <c r="E154" s="623" t="s">
        <v>1573</v>
      </c>
    </row>
    <row r="155" spans="2:5" x14ac:dyDescent="0.2">
      <c r="B155" s="273" t="s">
        <v>1533</v>
      </c>
      <c r="C155" s="621" t="s">
        <v>1530</v>
      </c>
      <c r="E155" s="623" t="s">
        <v>1535</v>
      </c>
    </row>
    <row r="156" spans="2:5" x14ac:dyDescent="0.2">
      <c r="B156" s="273" t="s">
        <v>1534</v>
      </c>
      <c r="C156" s="621" t="s">
        <v>1531</v>
      </c>
      <c r="E156" s="623" t="s">
        <v>1536</v>
      </c>
    </row>
    <row r="157" spans="2:5" x14ac:dyDescent="0.2">
      <c r="B157" s="275" t="s">
        <v>746</v>
      </c>
      <c r="C157" s="622" t="s">
        <v>1537</v>
      </c>
      <c r="E157" s="271"/>
    </row>
    <row r="158" spans="2:5" x14ac:dyDescent="0.2">
      <c r="B158" s="273">
        <v>14.1</v>
      </c>
      <c r="C158" s="621" t="s">
        <v>1538</v>
      </c>
      <c r="D158" s="268" t="str">
        <f t="shared" ref="D158:D167" si="13">CONCATENATE(B158, " - ", C158)</f>
        <v>14.1 - FX005001008 - Legal Services (Finance and Administration) - BL</v>
      </c>
      <c r="E158" s="623" t="s">
        <v>1539</v>
      </c>
    </row>
    <row r="159" spans="2:5" x14ac:dyDescent="0.2">
      <c r="B159" s="273">
        <v>14.2</v>
      </c>
      <c r="C159" s="272" t="s">
        <v>934</v>
      </c>
      <c r="D159" s="268" t="str">
        <f t="shared" si="13"/>
        <v>14.2 - [Name of sub-vote]</v>
      </c>
      <c r="E159" s="271"/>
    </row>
    <row r="160" spans="2:5" x14ac:dyDescent="0.2">
      <c r="B160" s="273">
        <v>14.3</v>
      </c>
      <c r="C160" s="272" t="s">
        <v>934</v>
      </c>
      <c r="D160" s="268" t="str">
        <f t="shared" si="13"/>
        <v>14.3 - [Name of sub-vote]</v>
      </c>
      <c r="E160" s="271"/>
    </row>
    <row r="161" spans="2:5" x14ac:dyDescent="0.2">
      <c r="B161" s="273">
        <v>14.4</v>
      </c>
      <c r="C161" s="272" t="s">
        <v>934</v>
      </c>
      <c r="D161" s="268" t="str">
        <f t="shared" si="13"/>
        <v>14.4 - [Name of sub-vote]</v>
      </c>
      <c r="E161" s="271"/>
    </row>
    <row r="162" spans="2:5" x14ac:dyDescent="0.2">
      <c r="B162" s="273">
        <v>14.5</v>
      </c>
      <c r="C162" s="272" t="s">
        <v>934</v>
      </c>
      <c r="D162" s="268" t="str">
        <f t="shared" si="13"/>
        <v>14.5 - [Name of sub-vote]</v>
      </c>
      <c r="E162" s="271"/>
    </row>
    <row r="163" spans="2:5" x14ac:dyDescent="0.2">
      <c r="B163" s="273">
        <v>14.6</v>
      </c>
      <c r="C163" s="272" t="s">
        <v>934</v>
      </c>
      <c r="D163" s="268" t="str">
        <f t="shared" si="13"/>
        <v>14.6 - [Name of sub-vote]</v>
      </c>
      <c r="E163" s="271"/>
    </row>
    <row r="164" spans="2:5" x14ac:dyDescent="0.2">
      <c r="B164" s="273">
        <v>14.7</v>
      </c>
      <c r="C164" s="272" t="s">
        <v>934</v>
      </c>
      <c r="D164" s="268" t="str">
        <f t="shared" si="13"/>
        <v>14.7 - [Name of sub-vote]</v>
      </c>
      <c r="E164" s="271"/>
    </row>
    <row r="165" spans="2:5" x14ac:dyDescent="0.2">
      <c r="B165" s="273">
        <v>14.8</v>
      </c>
      <c r="C165" s="272" t="s">
        <v>934</v>
      </c>
      <c r="D165" s="268" t="str">
        <f t="shared" si="13"/>
        <v>14.8 - [Name of sub-vote]</v>
      </c>
      <c r="E165" s="271"/>
    </row>
    <row r="166" spans="2:5" x14ac:dyDescent="0.2">
      <c r="B166" s="273">
        <v>14.9</v>
      </c>
      <c r="C166" s="272" t="s">
        <v>934</v>
      </c>
      <c r="D166" s="268" t="str">
        <f t="shared" si="13"/>
        <v>14.9 - [Name of sub-vote]</v>
      </c>
      <c r="E166" s="271"/>
    </row>
    <row r="167" spans="2:5" x14ac:dyDescent="0.2">
      <c r="B167" s="273" t="s">
        <v>936</v>
      </c>
      <c r="C167" s="272" t="s">
        <v>934</v>
      </c>
      <c r="D167" s="268" t="str">
        <f t="shared" si="13"/>
        <v>14.10 - [Name of sub-vote]</v>
      </c>
      <c r="E167" s="271"/>
    </row>
    <row r="168" spans="2:5" x14ac:dyDescent="0.2">
      <c r="B168" s="275" t="s">
        <v>745</v>
      </c>
      <c r="C168" s="622" t="s">
        <v>1540</v>
      </c>
      <c r="E168" s="271"/>
    </row>
    <row r="169" spans="2:5" x14ac:dyDescent="0.2">
      <c r="B169" s="273">
        <v>15.1</v>
      </c>
      <c r="C169" s="621" t="s">
        <v>1541</v>
      </c>
      <c r="D169" s="268" t="str">
        <f t="shared" ref="D169:D178" si="14">CONCATENATE(B169, " - ", C169)</f>
        <v>15.1 - FX016001001003 - Water Treatment - Scientific Services (Water Management) - DL</v>
      </c>
      <c r="E169" s="623" t="s">
        <v>1543</v>
      </c>
    </row>
    <row r="170" spans="2:5" x14ac:dyDescent="0.2">
      <c r="B170" s="273">
        <v>15.2</v>
      </c>
      <c r="C170" s="621" t="s">
        <v>1542</v>
      </c>
      <c r="D170" s="268" t="str">
        <f t="shared" si="14"/>
        <v>15.2 - FX016001002003 - Water Distribution - Water Demand Management (Water Management) - DO</v>
      </c>
      <c r="E170" s="623" t="s">
        <v>1544</v>
      </c>
    </row>
    <row r="171" spans="2:5" x14ac:dyDescent="0.2">
      <c r="B171" s="273">
        <v>15.3</v>
      </c>
      <c r="C171" s="272" t="s">
        <v>934</v>
      </c>
      <c r="D171" s="268" t="str">
        <f t="shared" si="14"/>
        <v>15.3 - [Name of sub-vote]</v>
      </c>
      <c r="E171" s="271"/>
    </row>
    <row r="172" spans="2:5" x14ac:dyDescent="0.2">
      <c r="B172" s="273">
        <v>15.4</v>
      </c>
      <c r="C172" s="272" t="s">
        <v>934</v>
      </c>
      <c r="D172" s="268" t="str">
        <f t="shared" si="14"/>
        <v>15.4 - [Name of sub-vote]</v>
      </c>
      <c r="E172" s="271"/>
    </row>
    <row r="173" spans="2:5" x14ac:dyDescent="0.2">
      <c r="B173" s="273">
        <v>15.5</v>
      </c>
      <c r="C173" s="272" t="s">
        <v>934</v>
      </c>
      <c r="D173" s="268" t="str">
        <f t="shared" si="14"/>
        <v>15.5 - [Name of sub-vote]</v>
      </c>
      <c r="E173" s="271"/>
    </row>
    <row r="174" spans="2:5" x14ac:dyDescent="0.2">
      <c r="B174" s="273">
        <v>15.6</v>
      </c>
      <c r="C174" s="272" t="s">
        <v>934</v>
      </c>
      <c r="D174" s="268" t="str">
        <f t="shared" si="14"/>
        <v>15.6 - [Name of sub-vote]</v>
      </c>
      <c r="E174" s="271"/>
    </row>
    <row r="175" spans="2:5" x14ac:dyDescent="0.2">
      <c r="B175" s="273">
        <v>15.7</v>
      </c>
      <c r="C175" s="272" t="s">
        <v>934</v>
      </c>
      <c r="D175" s="268" t="str">
        <f t="shared" si="14"/>
        <v>15.7 - [Name of sub-vote]</v>
      </c>
      <c r="E175" s="271"/>
    </row>
    <row r="176" spans="2:5" x14ac:dyDescent="0.2">
      <c r="B176" s="273">
        <v>15.8</v>
      </c>
      <c r="C176" s="272" t="s">
        <v>934</v>
      </c>
      <c r="D176" s="268" t="str">
        <f t="shared" si="14"/>
        <v>15.8 - [Name of sub-vote]</v>
      </c>
      <c r="E176" s="271"/>
    </row>
    <row r="177" spans="2:5" x14ac:dyDescent="0.2">
      <c r="B177" s="273">
        <v>15.9</v>
      </c>
      <c r="C177" s="272" t="s">
        <v>934</v>
      </c>
      <c r="D177" s="268" t="str">
        <f t="shared" si="14"/>
        <v>15.9 - [Name of sub-vote]</v>
      </c>
      <c r="E177" s="271"/>
    </row>
    <row r="178" spans="2:5" x14ac:dyDescent="0.2">
      <c r="B178" s="273" t="s">
        <v>935</v>
      </c>
      <c r="C178" s="272" t="s">
        <v>934</v>
      </c>
      <c r="D178" s="268" t="str">
        <f t="shared" si="14"/>
        <v>15.10 - [Name of sub-vote]</v>
      </c>
      <c r="E178" s="271"/>
    </row>
  </sheetData>
  <dataValidations count="13">
    <dataValidation type="list" allowBlank="1" showInputMessage="1" showErrorMessage="1" sqref="E169:E178">
      <formula1>Vote15</formula1>
    </dataValidation>
    <dataValidation type="list" allowBlank="1" showInputMessage="1" showErrorMessage="1" sqref="E158:E167">
      <formula1>Vote14</formula1>
    </dataValidation>
    <dataValidation type="list" allowBlank="1" showInputMessage="1" showErrorMessage="1" sqref="E144:E156">
      <formula1>Vote13</formula1>
    </dataValidation>
    <dataValidation type="list" allowBlank="1" showInputMessage="1" showErrorMessage="1" sqref="E133:E142">
      <formula1>Vote12</formula1>
    </dataValidation>
    <dataValidation type="list" allowBlank="1" showInputMessage="1" showErrorMessage="1" sqref="E108:E117">
      <formula1>Vote10</formula1>
    </dataValidation>
    <dataValidation type="list" allowBlank="1" showInputMessage="1" showErrorMessage="1" sqref="E97:E106">
      <formula1>Vote9</formula1>
    </dataValidation>
    <dataValidation type="list" allowBlank="1" showInputMessage="1" showErrorMessage="1" sqref="E86:E95">
      <formula1>Vote8</formula1>
    </dataValidation>
    <dataValidation type="list" allowBlank="1" showInputMessage="1" showErrorMessage="1" sqref="E75:E84">
      <formula1>Vote7</formula1>
    </dataValidation>
    <dataValidation type="list" allowBlank="1" showInputMessage="1" showErrorMessage="1" sqref="E64:E73">
      <formula1>Vote6</formula1>
    </dataValidation>
    <dataValidation type="list" allowBlank="1" showInputMessage="1" showErrorMessage="1" sqref="E53:E62">
      <formula1>Vote5</formula1>
    </dataValidation>
    <dataValidation type="list" allowBlank="1" showInputMessage="1" showErrorMessage="1" sqref="E39:E51">
      <formula1>Vote4</formula1>
    </dataValidation>
    <dataValidation type="list" allowBlank="1" showInputMessage="1" showErrorMessage="1" sqref="E28:E37">
      <formula1>Vote3</formula1>
    </dataValidation>
    <dataValidation type="list" allowBlank="1" showInputMessage="1" showErrorMessage="1" sqref="E17:E26">
      <formula1>Vote2</formula1>
    </dataValidation>
  </dataValidations>
  <pageMargins left="0.75" right="0.75" top="1" bottom="1" header="0.5" footer="0.5"/>
  <pageSetup paperSize="9" scale="37" orientation="portrait" r:id="rId1"/>
  <headerFooter alignWithMargins="0"/>
  <customProperties>
    <customPr name="_pios_id" r:id="rId2"/>
  </customProperties>
  <ignoredErrors>
    <ignoredError sqref="B12 B26 B37 B48 B62 B73 B84 B95 B106 B117 B128 B142 B153 B167 B178"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E126"/>
  <sheetViews>
    <sheetView workbookViewId="0">
      <selection sqref="A1:E1"/>
    </sheetView>
  </sheetViews>
  <sheetFormatPr defaultRowHeight="12.75" x14ac:dyDescent="0.2"/>
  <cols>
    <col min="1" max="4" width="35.42578125" bestFit="1" customWidth="1"/>
  </cols>
  <sheetData>
    <row r="1" spans="1:5" ht="13.5" x14ac:dyDescent="0.25">
      <c r="A1" s="827" t="s">
        <v>2046</v>
      </c>
      <c r="B1" s="828"/>
      <c r="C1" s="828"/>
      <c r="D1" s="828"/>
      <c r="E1" s="828"/>
    </row>
    <row r="2" spans="1:5" ht="13.5" x14ac:dyDescent="0.25">
      <c r="A2" s="788" t="s">
        <v>319</v>
      </c>
      <c r="B2" s="789" t="s">
        <v>1991</v>
      </c>
      <c r="C2" s="789" t="s">
        <v>1991</v>
      </c>
      <c r="D2" s="789" t="s">
        <v>1991</v>
      </c>
    </row>
    <row r="3" spans="1:5" ht="13.5" x14ac:dyDescent="0.25">
      <c r="A3" s="790" t="s">
        <v>320</v>
      </c>
      <c r="B3" s="790" t="s">
        <v>271</v>
      </c>
    </row>
    <row r="4" spans="1:5" ht="13.5" x14ac:dyDescent="0.25">
      <c r="A4" s="790" t="s">
        <v>1992</v>
      </c>
      <c r="B4" s="790" t="s">
        <v>1707</v>
      </c>
    </row>
    <row r="5" spans="1:5" ht="13.5" x14ac:dyDescent="0.25">
      <c r="A5" s="790" t="s">
        <v>321</v>
      </c>
      <c r="B5" s="790" t="s">
        <v>1993</v>
      </c>
    </row>
    <row r="6" spans="1:5" ht="13.5" x14ac:dyDescent="0.25">
      <c r="A6" s="790" t="s">
        <v>322</v>
      </c>
      <c r="B6" s="791" t="s">
        <v>1706</v>
      </c>
    </row>
    <row r="7" spans="1:5" ht="13.5" x14ac:dyDescent="0.25">
      <c r="A7" s="790" t="s">
        <v>1994</v>
      </c>
      <c r="B7" s="791" t="s">
        <v>1991</v>
      </c>
    </row>
    <row r="8" spans="1:5" ht="13.5" x14ac:dyDescent="0.25">
      <c r="A8" s="788" t="s">
        <v>323</v>
      </c>
      <c r="B8" s="790" t="s">
        <v>1991</v>
      </c>
    </row>
    <row r="9" spans="1:5" ht="13.5" x14ac:dyDescent="0.25">
      <c r="A9" s="792" t="s">
        <v>1995</v>
      </c>
      <c r="B9" s="790" t="s">
        <v>1991</v>
      </c>
    </row>
    <row r="10" spans="1:5" ht="13.5" x14ac:dyDescent="0.25">
      <c r="A10" s="790" t="s">
        <v>1996</v>
      </c>
      <c r="B10" s="791" t="s">
        <v>1997</v>
      </c>
    </row>
    <row r="11" spans="1:5" ht="13.5" x14ac:dyDescent="0.25">
      <c r="A11" s="790" t="s">
        <v>324</v>
      </c>
      <c r="B11" s="791" t="s">
        <v>1998</v>
      </c>
    </row>
    <row r="12" spans="1:5" ht="13.5" x14ac:dyDescent="0.25">
      <c r="A12" s="790" t="s">
        <v>325</v>
      </c>
      <c r="B12" s="791" t="s">
        <v>1709</v>
      </c>
    </row>
    <row r="13" spans="1:5" ht="13.5" x14ac:dyDescent="0.25">
      <c r="A13" s="792" t="s">
        <v>1999</v>
      </c>
      <c r="B13" s="790" t="s">
        <v>1991</v>
      </c>
    </row>
    <row r="14" spans="1:5" ht="13.5" x14ac:dyDescent="0.25">
      <c r="A14" s="790" t="s">
        <v>326</v>
      </c>
      <c r="B14" s="791" t="s">
        <v>1710</v>
      </c>
    </row>
    <row r="15" spans="1:5" ht="13.5" x14ac:dyDescent="0.25">
      <c r="A15" s="790" t="s">
        <v>2000</v>
      </c>
      <c r="B15" s="791" t="s">
        <v>1711</v>
      </c>
    </row>
    <row r="16" spans="1:5" ht="13.5" x14ac:dyDescent="0.25">
      <c r="A16" s="790" t="s">
        <v>324</v>
      </c>
      <c r="B16" s="791" t="s">
        <v>1708</v>
      </c>
    </row>
    <row r="17" spans="1:4" ht="13.5" x14ac:dyDescent="0.25">
      <c r="A17" s="790" t="s">
        <v>325</v>
      </c>
      <c r="B17" s="791" t="s">
        <v>1709</v>
      </c>
    </row>
    <row r="18" spans="1:4" ht="13.5" x14ac:dyDescent="0.25">
      <c r="A18" s="792" t="s">
        <v>327</v>
      </c>
      <c r="B18" s="790" t="s">
        <v>1991</v>
      </c>
    </row>
    <row r="19" spans="1:4" ht="13.5" x14ac:dyDescent="0.25">
      <c r="A19" s="790" t="s">
        <v>2001</v>
      </c>
      <c r="B19" s="791" t="s">
        <v>1712</v>
      </c>
    </row>
    <row r="20" spans="1:4" ht="13.5" x14ac:dyDescent="0.25">
      <c r="A20" s="790" t="s">
        <v>2002</v>
      </c>
      <c r="B20" s="791" t="s">
        <v>1713</v>
      </c>
    </row>
    <row r="21" spans="1:4" ht="13.5" x14ac:dyDescent="0.25">
      <c r="A21" s="788" t="s">
        <v>328</v>
      </c>
      <c r="B21" s="790" t="s">
        <v>1991</v>
      </c>
      <c r="C21" s="790" t="s">
        <v>1991</v>
      </c>
      <c r="D21" s="790" t="s">
        <v>1991</v>
      </c>
    </row>
    <row r="22" spans="1:4" ht="13.5" x14ac:dyDescent="0.25">
      <c r="A22" s="792" t="s">
        <v>2003</v>
      </c>
      <c r="B22" s="790" t="s">
        <v>1991</v>
      </c>
      <c r="C22" s="792" t="s">
        <v>2004</v>
      </c>
      <c r="D22" s="790" t="s">
        <v>1991</v>
      </c>
    </row>
    <row r="23" spans="1:4" ht="13.5" x14ac:dyDescent="0.25">
      <c r="A23" s="790" t="s">
        <v>2005</v>
      </c>
      <c r="B23" s="790" t="s">
        <v>1991</v>
      </c>
      <c r="C23" s="790" t="s">
        <v>2005</v>
      </c>
      <c r="D23" s="790" t="s">
        <v>1991</v>
      </c>
    </row>
    <row r="24" spans="1:4" ht="13.5" x14ac:dyDescent="0.25">
      <c r="A24" s="790" t="s">
        <v>1022</v>
      </c>
      <c r="B24" s="791" t="s">
        <v>2006</v>
      </c>
      <c r="C24" s="790" t="s">
        <v>1022</v>
      </c>
      <c r="D24" s="791" t="s">
        <v>1747</v>
      </c>
    </row>
    <row r="25" spans="1:4" ht="13.5" x14ac:dyDescent="0.25">
      <c r="A25" s="790" t="s">
        <v>2007</v>
      </c>
      <c r="B25" s="791" t="s">
        <v>2008</v>
      </c>
      <c r="C25" s="790" t="s">
        <v>2007</v>
      </c>
      <c r="D25" s="791" t="s">
        <v>2009</v>
      </c>
    </row>
    <row r="26" spans="1:4" ht="13.5" x14ac:dyDescent="0.25">
      <c r="A26" s="790" t="s">
        <v>2001</v>
      </c>
      <c r="B26" s="791" t="s">
        <v>1714</v>
      </c>
      <c r="C26" s="790" t="s">
        <v>2001</v>
      </c>
      <c r="D26" s="791" t="s">
        <v>1717</v>
      </c>
    </row>
    <row r="27" spans="1:4" ht="13.5" x14ac:dyDescent="0.25">
      <c r="A27" s="790" t="s">
        <v>2010</v>
      </c>
      <c r="B27" s="791" t="s">
        <v>1715</v>
      </c>
      <c r="C27" s="790" t="s">
        <v>2010</v>
      </c>
      <c r="D27" s="791" t="s">
        <v>1718</v>
      </c>
    </row>
    <row r="28" spans="1:4" ht="13.5" x14ac:dyDescent="0.25">
      <c r="A28" s="790" t="s">
        <v>2002</v>
      </c>
      <c r="B28" s="791" t="s">
        <v>1713</v>
      </c>
      <c r="C28" s="790" t="s">
        <v>2002</v>
      </c>
      <c r="D28" s="791" t="s">
        <v>1713</v>
      </c>
    </row>
    <row r="29" spans="1:4" ht="13.5" x14ac:dyDescent="0.25">
      <c r="A29" s="790" t="s">
        <v>1994</v>
      </c>
      <c r="B29" s="791" t="s">
        <v>1716</v>
      </c>
      <c r="C29" s="790" t="s">
        <v>1994</v>
      </c>
      <c r="D29" s="791" t="s">
        <v>1719</v>
      </c>
    </row>
    <row r="30" spans="1:4" ht="13.5" x14ac:dyDescent="0.25">
      <c r="A30" s="792" t="s">
        <v>2011</v>
      </c>
      <c r="B30" s="790" t="s">
        <v>1991</v>
      </c>
      <c r="C30" s="792" t="s">
        <v>2012</v>
      </c>
      <c r="D30" s="790" t="s">
        <v>1991</v>
      </c>
    </row>
    <row r="31" spans="1:4" ht="13.5" x14ac:dyDescent="0.25">
      <c r="A31" s="790" t="s">
        <v>2005</v>
      </c>
      <c r="B31" s="790" t="s">
        <v>1991</v>
      </c>
      <c r="C31" s="790" t="s">
        <v>2005</v>
      </c>
      <c r="D31" s="790" t="s">
        <v>1991</v>
      </c>
    </row>
    <row r="32" spans="1:4" ht="13.5" x14ac:dyDescent="0.25">
      <c r="A32" s="790" t="s">
        <v>1022</v>
      </c>
      <c r="B32" s="791" t="s">
        <v>2006</v>
      </c>
      <c r="C32" s="790" t="s">
        <v>1022</v>
      </c>
      <c r="D32" s="791" t="s">
        <v>1747</v>
      </c>
    </row>
    <row r="33" spans="1:4" ht="13.5" x14ac:dyDescent="0.25">
      <c r="A33" s="790" t="s">
        <v>2007</v>
      </c>
      <c r="B33" s="791" t="s">
        <v>2013</v>
      </c>
      <c r="C33" s="790" t="s">
        <v>2007</v>
      </c>
      <c r="D33" s="791" t="s">
        <v>2014</v>
      </c>
    </row>
    <row r="34" spans="1:4" ht="13.5" x14ac:dyDescent="0.25">
      <c r="A34" s="790" t="s">
        <v>2001</v>
      </c>
      <c r="B34" s="791" t="s">
        <v>1720</v>
      </c>
      <c r="C34" s="790" t="s">
        <v>2001</v>
      </c>
      <c r="D34" s="791" t="s">
        <v>2015</v>
      </c>
    </row>
    <row r="35" spans="1:4" ht="13.5" x14ac:dyDescent="0.25">
      <c r="A35" s="790" t="s">
        <v>2010</v>
      </c>
      <c r="B35" s="791" t="s">
        <v>2016</v>
      </c>
      <c r="C35" s="790" t="s">
        <v>2010</v>
      </c>
      <c r="D35" s="791" t="s">
        <v>2017</v>
      </c>
    </row>
    <row r="36" spans="1:4" ht="13.5" x14ac:dyDescent="0.25">
      <c r="A36" s="790" t="s">
        <v>2002</v>
      </c>
      <c r="B36" s="791" t="s">
        <v>1713</v>
      </c>
      <c r="C36" s="790" t="s">
        <v>2002</v>
      </c>
      <c r="D36" s="791" t="s">
        <v>1713</v>
      </c>
    </row>
    <row r="37" spans="1:4" ht="13.5" x14ac:dyDescent="0.25">
      <c r="A37" s="790" t="s">
        <v>1994</v>
      </c>
      <c r="B37" s="791" t="s">
        <v>1721</v>
      </c>
      <c r="C37" s="790" t="s">
        <v>1994</v>
      </c>
      <c r="D37" s="791" t="s">
        <v>2018</v>
      </c>
    </row>
    <row r="38" spans="1:4" ht="13.5" x14ac:dyDescent="0.25">
      <c r="A38" s="792" t="s">
        <v>2019</v>
      </c>
      <c r="B38" s="790" t="s">
        <v>1991</v>
      </c>
      <c r="C38" s="792" t="s">
        <v>2020</v>
      </c>
      <c r="D38" s="790" t="s">
        <v>1991</v>
      </c>
    </row>
    <row r="39" spans="1:4" ht="13.5" x14ac:dyDescent="0.25">
      <c r="A39" s="790" t="s">
        <v>2005</v>
      </c>
      <c r="B39" s="790" t="s">
        <v>1991</v>
      </c>
      <c r="C39" s="790" t="s">
        <v>2005</v>
      </c>
      <c r="D39" s="790" t="s">
        <v>1991</v>
      </c>
    </row>
    <row r="40" spans="1:4" ht="13.5" x14ac:dyDescent="0.25">
      <c r="A40" s="790" t="s">
        <v>1022</v>
      </c>
      <c r="B40" s="791" t="s">
        <v>2006</v>
      </c>
      <c r="C40" s="790" t="s">
        <v>1022</v>
      </c>
      <c r="D40" s="791" t="s">
        <v>1747</v>
      </c>
    </row>
    <row r="41" spans="1:4" ht="13.5" x14ac:dyDescent="0.25">
      <c r="A41" s="790" t="s">
        <v>2007</v>
      </c>
      <c r="B41" s="791" t="s">
        <v>2021</v>
      </c>
      <c r="C41" s="790" t="s">
        <v>2007</v>
      </c>
      <c r="D41" s="791" t="s">
        <v>2022</v>
      </c>
    </row>
    <row r="42" spans="1:4" ht="13.5" x14ac:dyDescent="0.25">
      <c r="A42" s="790" t="s">
        <v>2001</v>
      </c>
      <c r="B42" s="791" t="s">
        <v>2023</v>
      </c>
      <c r="C42" s="790" t="s">
        <v>2001</v>
      </c>
      <c r="D42" s="793" t="s">
        <v>1722</v>
      </c>
    </row>
    <row r="43" spans="1:4" ht="13.5" x14ac:dyDescent="0.25">
      <c r="A43" s="790" t="s">
        <v>2010</v>
      </c>
      <c r="B43" s="791" t="s">
        <v>2024</v>
      </c>
      <c r="C43" s="790" t="s">
        <v>2010</v>
      </c>
      <c r="D43" s="794" t="s">
        <v>2025</v>
      </c>
    </row>
    <row r="44" spans="1:4" ht="13.5" x14ac:dyDescent="0.25">
      <c r="A44" s="790" t="s">
        <v>2002</v>
      </c>
      <c r="B44" s="791" t="s">
        <v>1713</v>
      </c>
      <c r="C44" s="790" t="s">
        <v>2002</v>
      </c>
      <c r="D44" s="794" t="s">
        <v>1713</v>
      </c>
    </row>
    <row r="45" spans="1:4" ht="13.5" x14ac:dyDescent="0.25">
      <c r="A45" s="790" t="s">
        <v>1994</v>
      </c>
      <c r="B45" s="791" t="s">
        <v>2026</v>
      </c>
      <c r="C45" s="790" t="s">
        <v>1994</v>
      </c>
      <c r="D45" s="791" t="s">
        <v>2027</v>
      </c>
    </row>
    <row r="46" spans="1:4" ht="13.5" x14ac:dyDescent="0.25">
      <c r="A46" s="788" t="s">
        <v>329</v>
      </c>
      <c r="B46" s="790" t="s">
        <v>1991</v>
      </c>
      <c r="C46" s="790" t="s">
        <v>1991</v>
      </c>
      <c r="D46" s="790" t="s">
        <v>1991</v>
      </c>
    </row>
    <row r="47" spans="1:4" ht="13.5" x14ac:dyDescent="0.25">
      <c r="A47" s="792" t="s">
        <v>2028</v>
      </c>
      <c r="B47" s="790" t="s">
        <v>1991</v>
      </c>
      <c r="C47" s="792" t="s">
        <v>2029</v>
      </c>
      <c r="D47" s="790" t="s">
        <v>1991</v>
      </c>
    </row>
    <row r="48" spans="1:4" ht="13.5" x14ac:dyDescent="0.25">
      <c r="A48" s="790" t="s">
        <v>2005</v>
      </c>
      <c r="B48" s="790" t="s">
        <v>1991</v>
      </c>
      <c r="C48" s="790" t="s">
        <v>2005</v>
      </c>
      <c r="D48" s="790" t="s">
        <v>1991</v>
      </c>
    </row>
    <row r="49" spans="1:4" ht="13.5" x14ac:dyDescent="0.25">
      <c r="A49" s="790" t="s">
        <v>1022</v>
      </c>
      <c r="B49" s="791" t="s">
        <v>1752</v>
      </c>
      <c r="C49" s="790" t="s">
        <v>1022</v>
      </c>
      <c r="D49" s="791" t="s">
        <v>1747</v>
      </c>
    </row>
    <row r="50" spans="1:4" ht="13.5" x14ac:dyDescent="0.25">
      <c r="A50" s="790" t="s">
        <v>2007</v>
      </c>
      <c r="B50" s="791" t="s">
        <v>2030</v>
      </c>
      <c r="C50" s="790" t="s">
        <v>2007</v>
      </c>
      <c r="D50" s="791" t="s">
        <v>2031</v>
      </c>
    </row>
    <row r="51" spans="1:4" ht="13.5" x14ac:dyDescent="0.25">
      <c r="A51" s="790" t="s">
        <v>2001</v>
      </c>
      <c r="B51" s="791" t="s">
        <v>1723</v>
      </c>
      <c r="C51" s="790" t="s">
        <v>2001</v>
      </c>
      <c r="D51" s="791" t="s">
        <v>1725</v>
      </c>
    </row>
    <row r="52" spans="1:4" ht="13.5" x14ac:dyDescent="0.25">
      <c r="A52" s="790" t="s">
        <v>2010</v>
      </c>
      <c r="B52" s="791" t="s">
        <v>2032</v>
      </c>
      <c r="C52" s="790" t="s">
        <v>2010</v>
      </c>
      <c r="D52" s="791" t="s">
        <v>1726</v>
      </c>
    </row>
    <row r="53" spans="1:4" ht="13.5" x14ac:dyDescent="0.25">
      <c r="A53" s="790" t="s">
        <v>2002</v>
      </c>
      <c r="B53" s="791" t="s">
        <v>1713</v>
      </c>
      <c r="C53" s="790" t="s">
        <v>2002</v>
      </c>
      <c r="D53" s="791" t="s">
        <v>1713</v>
      </c>
    </row>
    <row r="54" spans="1:4" ht="13.5" x14ac:dyDescent="0.25">
      <c r="A54" s="790" t="s">
        <v>1994</v>
      </c>
      <c r="B54" s="791" t="s">
        <v>1724</v>
      </c>
      <c r="C54" s="790" t="s">
        <v>1994</v>
      </c>
      <c r="D54" s="791" t="s">
        <v>1727</v>
      </c>
    </row>
    <row r="55" spans="1:4" ht="13.5" x14ac:dyDescent="0.25">
      <c r="A55" s="792" t="s">
        <v>330</v>
      </c>
      <c r="B55" s="790" t="s">
        <v>1991</v>
      </c>
      <c r="C55" s="792" t="s">
        <v>331</v>
      </c>
      <c r="D55" s="790" t="s">
        <v>1991</v>
      </c>
    </row>
    <row r="56" spans="1:4" ht="13.5" x14ac:dyDescent="0.25">
      <c r="A56" s="790" t="s">
        <v>2005</v>
      </c>
      <c r="B56" s="790" t="s">
        <v>1991</v>
      </c>
      <c r="C56" s="790" t="s">
        <v>2005</v>
      </c>
      <c r="D56" s="790" t="s">
        <v>1991</v>
      </c>
    </row>
    <row r="57" spans="1:4" ht="13.5" x14ac:dyDescent="0.25">
      <c r="A57" s="790" t="s">
        <v>1022</v>
      </c>
      <c r="B57" s="791" t="s">
        <v>1752</v>
      </c>
      <c r="C57" s="790" t="s">
        <v>1022</v>
      </c>
      <c r="D57" s="791" t="s">
        <v>1747</v>
      </c>
    </row>
    <row r="58" spans="1:4" ht="13.5" x14ac:dyDescent="0.25">
      <c r="A58" s="790" t="s">
        <v>2007</v>
      </c>
      <c r="B58" s="791" t="s">
        <v>1728</v>
      </c>
      <c r="C58" s="790" t="s">
        <v>2007</v>
      </c>
      <c r="D58" s="791" t="s">
        <v>2033</v>
      </c>
    </row>
    <row r="59" spans="1:4" ht="13.5" x14ac:dyDescent="0.25">
      <c r="A59" s="790" t="s">
        <v>2001</v>
      </c>
      <c r="B59" s="791" t="s">
        <v>1729</v>
      </c>
      <c r="C59" s="790" t="s">
        <v>2001</v>
      </c>
      <c r="D59" s="791" t="s">
        <v>1732</v>
      </c>
    </row>
    <row r="60" spans="1:4" ht="13.5" x14ac:dyDescent="0.25">
      <c r="A60" s="790" t="s">
        <v>2010</v>
      </c>
      <c r="B60" s="791" t="s">
        <v>1730</v>
      </c>
      <c r="C60" s="790" t="s">
        <v>2010</v>
      </c>
      <c r="D60" s="795" t="s">
        <v>2087</v>
      </c>
    </row>
    <row r="61" spans="1:4" ht="13.5" x14ac:dyDescent="0.25">
      <c r="A61" s="790" t="s">
        <v>2002</v>
      </c>
      <c r="B61" s="791" t="s">
        <v>1713</v>
      </c>
      <c r="C61" s="790" t="s">
        <v>2002</v>
      </c>
      <c r="D61" s="791" t="s">
        <v>1713</v>
      </c>
    </row>
    <row r="62" spans="1:4" ht="13.5" x14ac:dyDescent="0.25">
      <c r="A62" s="790" t="s">
        <v>1994</v>
      </c>
      <c r="B62" s="791" t="s">
        <v>1731</v>
      </c>
      <c r="C62" s="790" t="s">
        <v>1994</v>
      </c>
      <c r="D62" s="791" t="s">
        <v>2034</v>
      </c>
    </row>
    <row r="63" spans="1:4" ht="27" x14ac:dyDescent="0.25">
      <c r="A63" s="792" t="s">
        <v>332</v>
      </c>
      <c r="B63" s="790" t="s">
        <v>1991</v>
      </c>
      <c r="C63" s="792" t="s">
        <v>332</v>
      </c>
      <c r="D63" s="790" t="s">
        <v>1991</v>
      </c>
    </row>
    <row r="64" spans="1:4" ht="13.5" x14ac:dyDescent="0.25">
      <c r="A64" s="790" t="s">
        <v>2005</v>
      </c>
      <c r="B64" s="790" t="s">
        <v>1991</v>
      </c>
      <c r="C64" s="790" t="s">
        <v>2005</v>
      </c>
      <c r="D64" s="790" t="s">
        <v>1991</v>
      </c>
    </row>
    <row r="65" spans="1:4" ht="13.5" x14ac:dyDescent="0.25">
      <c r="A65" s="790" t="s">
        <v>1022</v>
      </c>
      <c r="B65" s="791" t="s">
        <v>1747</v>
      </c>
      <c r="C65" s="790" t="s">
        <v>1022</v>
      </c>
      <c r="D65" s="791" t="s">
        <v>1752</v>
      </c>
    </row>
    <row r="66" spans="1:4" ht="13.5" x14ac:dyDescent="0.25">
      <c r="A66" s="790" t="s">
        <v>2007</v>
      </c>
      <c r="B66" s="791" t="s">
        <v>2035</v>
      </c>
      <c r="C66" s="790" t="s">
        <v>2007</v>
      </c>
      <c r="D66" s="791" t="s">
        <v>2036</v>
      </c>
    </row>
    <row r="67" spans="1:4" ht="13.5" x14ac:dyDescent="0.25">
      <c r="A67" s="790" t="s">
        <v>2001</v>
      </c>
      <c r="B67" s="791" t="s">
        <v>1733</v>
      </c>
      <c r="C67" s="790" t="s">
        <v>2001</v>
      </c>
      <c r="D67" s="791" t="s">
        <v>1736</v>
      </c>
    </row>
    <row r="68" spans="1:4" ht="13.5" x14ac:dyDescent="0.25">
      <c r="A68" s="790" t="s">
        <v>2010</v>
      </c>
      <c r="B68" s="791" t="s">
        <v>1734</v>
      </c>
      <c r="C68" s="790" t="s">
        <v>2010</v>
      </c>
      <c r="D68" s="791" t="s">
        <v>1737</v>
      </c>
    </row>
    <row r="69" spans="1:4" ht="13.5" x14ac:dyDescent="0.25">
      <c r="A69" s="790" t="s">
        <v>2002</v>
      </c>
      <c r="B69" s="791" t="s">
        <v>1713</v>
      </c>
      <c r="C69" s="790" t="s">
        <v>2002</v>
      </c>
      <c r="D69" s="791" t="s">
        <v>1713</v>
      </c>
    </row>
    <row r="70" spans="1:4" ht="13.5" x14ac:dyDescent="0.25">
      <c r="A70" s="790" t="s">
        <v>1994</v>
      </c>
      <c r="B70" s="791" t="s">
        <v>1735</v>
      </c>
      <c r="C70" s="790" t="s">
        <v>1994</v>
      </c>
      <c r="D70" s="791" t="s">
        <v>1738</v>
      </c>
    </row>
    <row r="71" spans="1:4" ht="27" x14ac:dyDescent="0.25">
      <c r="A71" s="792" t="s">
        <v>332</v>
      </c>
      <c r="B71" s="790" t="s">
        <v>1991</v>
      </c>
      <c r="C71" s="792" t="s">
        <v>332</v>
      </c>
      <c r="D71" s="790" t="s">
        <v>1991</v>
      </c>
    </row>
    <row r="72" spans="1:4" ht="13.5" x14ac:dyDescent="0.25">
      <c r="A72" s="790" t="s">
        <v>2005</v>
      </c>
      <c r="B72" s="790" t="s">
        <v>1991</v>
      </c>
      <c r="C72" s="790" t="s">
        <v>2005</v>
      </c>
      <c r="D72" s="790" t="s">
        <v>1991</v>
      </c>
    </row>
    <row r="73" spans="1:4" ht="13.5" x14ac:dyDescent="0.25">
      <c r="A73" s="790" t="s">
        <v>1022</v>
      </c>
      <c r="B73" s="791" t="s">
        <v>1747</v>
      </c>
      <c r="C73" s="790" t="s">
        <v>1022</v>
      </c>
      <c r="D73" s="791" t="s">
        <v>1752</v>
      </c>
    </row>
    <row r="74" spans="1:4" ht="13.5" x14ac:dyDescent="0.25">
      <c r="A74" s="790" t="s">
        <v>2007</v>
      </c>
      <c r="B74" s="791" t="s">
        <v>2037</v>
      </c>
      <c r="C74" s="790" t="s">
        <v>2007</v>
      </c>
      <c r="D74" s="791" t="s">
        <v>2038</v>
      </c>
    </row>
    <row r="75" spans="1:4" ht="13.5" x14ac:dyDescent="0.25">
      <c r="A75" s="790" t="s">
        <v>2001</v>
      </c>
      <c r="B75" s="791" t="s">
        <v>1739</v>
      </c>
      <c r="C75" s="790" t="s">
        <v>2001</v>
      </c>
      <c r="D75" s="791" t="s">
        <v>1741</v>
      </c>
    </row>
    <row r="76" spans="1:4" ht="13.5" x14ac:dyDescent="0.25">
      <c r="A76" s="790" t="s">
        <v>2010</v>
      </c>
      <c r="B76" s="791" t="s">
        <v>1740</v>
      </c>
      <c r="C76" s="790" t="s">
        <v>2010</v>
      </c>
      <c r="D76" s="791" t="s">
        <v>1742</v>
      </c>
    </row>
    <row r="77" spans="1:4" ht="13.5" x14ac:dyDescent="0.25">
      <c r="A77" s="790" t="s">
        <v>2002</v>
      </c>
      <c r="B77" s="791" t="s">
        <v>1713</v>
      </c>
      <c r="C77" s="790" t="s">
        <v>2002</v>
      </c>
      <c r="D77" s="791" t="s">
        <v>1713</v>
      </c>
    </row>
    <row r="78" spans="1:4" ht="13.5" x14ac:dyDescent="0.25">
      <c r="A78" s="790" t="s">
        <v>1994</v>
      </c>
      <c r="B78" s="791" t="s">
        <v>2039</v>
      </c>
      <c r="C78" s="790" t="s">
        <v>1994</v>
      </c>
      <c r="D78" s="791" t="s">
        <v>1743</v>
      </c>
    </row>
    <row r="79" spans="1:4" ht="27" x14ac:dyDescent="0.25">
      <c r="A79" s="792" t="s">
        <v>332</v>
      </c>
      <c r="B79" s="790" t="s">
        <v>1991</v>
      </c>
      <c r="C79" s="792" t="s">
        <v>332</v>
      </c>
      <c r="D79" s="790" t="s">
        <v>1991</v>
      </c>
    </row>
    <row r="80" spans="1:4" ht="13.5" x14ac:dyDescent="0.25">
      <c r="A80" s="790" t="s">
        <v>2005</v>
      </c>
      <c r="B80" s="790" t="s">
        <v>1991</v>
      </c>
      <c r="C80" s="790" t="s">
        <v>2005</v>
      </c>
      <c r="D80" s="790" t="s">
        <v>1991</v>
      </c>
    </row>
    <row r="81" spans="1:4" ht="13.5" x14ac:dyDescent="0.25">
      <c r="A81" s="790" t="s">
        <v>1022</v>
      </c>
      <c r="B81" s="791" t="s">
        <v>1752</v>
      </c>
      <c r="C81" s="790" t="s">
        <v>1022</v>
      </c>
      <c r="D81" s="791" t="s">
        <v>1747</v>
      </c>
    </row>
    <row r="82" spans="1:4" ht="13.5" x14ac:dyDescent="0.25">
      <c r="A82" s="790" t="s">
        <v>2007</v>
      </c>
      <c r="B82" s="791" t="s">
        <v>2040</v>
      </c>
      <c r="C82" s="790" t="s">
        <v>2007</v>
      </c>
      <c r="D82" s="791" t="s">
        <v>2041</v>
      </c>
    </row>
    <row r="83" spans="1:4" ht="13.5" x14ac:dyDescent="0.25">
      <c r="A83" s="790" t="s">
        <v>2001</v>
      </c>
      <c r="B83" s="791" t="s">
        <v>1744</v>
      </c>
      <c r="C83" s="790" t="s">
        <v>2001</v>
      </c>
      <c r="D83" s="791" t="s">
        <v>1748</v>
      </c>
    </row>
    <row r="84" spans="1:4" ht="13.5" x14ac:dyDescent="0.25">
      <c r="A84" s="790" t="s">
        <v>2010</v>
      </c>
      <c r="B84" s="791" t="s">
        <v>1745</v>
      </c>
      <c r="C84" s="790" t="s">
        <v>2010</v>
      </c>
      <c r="D84" s="791" t="s">
        <v>1749</v>
      </c>
    </row>
    <row r="85" spans="1:4" ht="13.5" x14ac:dyDescent="0.25">
      <c r="A85" s="790" t="s">
        <v>2002</v>
      </c>
      <c r="B85" s="791" t="s">
        <v>1713</v>
      </c>
      <c r="C85" s="790" t="s">
        <v>2002</v>
      </c>
      <c r="D85" s="791" t="s">
        <v>1750</v>
      </c>
    </row>
    <row r="86" spans="1:4" ht="13.5" x14ac:dyDescent="0.25">
      <c r="A86" s="790" t="s">
        <v>1994</v>
      </c>
      <c r="B86" s="791" t="s">
        <v>1746</v>
      </c>
      <c r="C86" s="790" t="s">
        <v>1994</v>
      </c>
      <c r="D86" s="791" t="s">
        <v>1751</v>
      </c>
    </row>
    <row r="87" spans="1:4" ht="27" x14ac:dyDescent="0.25">
      <c r="A87" s="792" t="s">
        <v>332</v>
      </c>
      <c r="B87" s="790" t="s">
        <v>1991</v>
      </c>
      <c r="C87" s="792" t="s">
        <v>332</v>
      </c>
      <c r="D87" s="790" t="s">
        <v>1991</v>
      </c>
    </row>
    <row r="88" spans="1:4" ht="13.5" x14ac:dyDescent="0.25">
      <c r="A88" s="790" t="s">
        <v>2005</v>
      </c>
      <c r="B88" s="790" t="s">
        <v>1991</v>
      </c>
      <c r="C88" s="790" t="s">
        <v>2005</v>
      </c>
      <c r="D88" s="790" t="s">
        <v>1991</v>
      </c>
    </row>
    <row r="89" spans="1:4" ht="13.5" x14ac:dyDescent="0.25">
      <c r="A89" s="790" t="s">
        <v>1022</v>
      </c>
      <c r="B89" s="791" t="s">
        <v>1752</v>
      </c>
      <c r="C89" s="790" t="s">
        <v>1022</v>
      </c>
      <c r="D89" s="791" t="s">
        <v>1747</v>
      </c>
    </row>
    <row r="90" spans="1:4" ht="13.5" x14ac:dyDescent="0.25">
      <c r="A90" s="790" t="s">
        <v>2007</v>
      </c>
      <c r="B90" s="791" t="s">
        <v>2042</v>
      </c>
      <c r="C90" s="790" t="s">
        <v>2007</v>
      </c>
      <c r="D90" s="791" t="s">
        <v>2043</v>
      </c>
    </row>
    <row r="91" spans="1:4" ht="13.5" x14ac:dyDescent="0.25">
      <c r="A91" s="790" t="s">
        <v>2001</v>
      </c>
      <c r="B91" s="791" t="s">
        <v>1753</v>
      </c>
      <c r="C91" s="790" t="s">
        <v>2001</v>
      </c>
      <c r="D91" s="791" t="s">
        <v>1756</v>
      </c>
    </row>
    <row r="92" spans="1:4" ht="13.5" x14ac:dyDescent="0.25">
      <c r="A92" s="790" t="s">
        <v>2010</v>
      </c>
      <c r="B92" s="791" t="s">
        <v>1754</v>
      </c>
      <c r="C92" s="790" t="s">
        <v>2010</v>
      </c>
      <c r="D92" s="791" t="s">
        <v>1757</v>
      </c>
    </row>
    <row r="93" spans="1:4" ht="13.5" x14ac:dyDescent="0.25">
      <c r="A93" s="790" t="s">
        <v>2002</v>
      </c>
      <c r="B93" s="791" t="s">
        <v>1713</v>
      </c>
      <c r="C93" s="790" t="s">
        <v>2002</v>
      </c>
      <c r="D93" s="791" t="s">
        <v>1713</v>
      </c>
    </row>
    <row r="94" spans="1:4" ht="13.5" x14ac:dyDescent="0.25">
      <c r="A94" s="790" t="s">
        <v>1994</v>
      </c>
      <c r="B94" s="791" t="s">
        <v>1755</v>
      </c>
      <c r="C94" s="790" t="s">
        <v>1994</v>
      </c>
      <c r="D94" s="791" t="s">
        <v>2044</v>
      </c>
    </row>
    <row r="95" spans="1:4" ht="27" x14ac:dyDescent="0.25">
      <c r="A95" s="792" t="s">
        <v>332</v>
      </c>
      <c r="B95" s="790" t="s">
        <v>1991</v>
      </c>
      <c r="C95" s="792" t="s">
        <v>332</v>
      </c>
      <c r="D95" s="790" t="s">
        <v>1991</v>
      </c>
    </row>
    <row r="96" spans="1:4" ht="13.5" x14ac:dyDescent="0.25">
      <c r="A96" s="790" t="s">
        <v>2005</v>
      </c>
      <c r="B96" s="790" t="s">
        <v>1991</v>
      </c>
      <c r="C96" s="790" t="s">
        <v>2005</v>
      </c>
      <c r="D96" s="790" t="s">
        <v>1991</v>
      </c>
    </row>
    <row r="97" spans="1:4" ht="13.5" x14ac:dyDescent="0.25">
      <c r="A97" s="790" t="s">
        <v>1022</v>
      </c>
      <c r="B97" s="791" t="s">
        <v>1991</v>
      </c>
      <c r="C97" s="790" t="s">
        <v>1022</v>
      </c>
      <c r="D97" s="791" t="s">
        <v>1991</v>
      </c>
    </row>
    <row r="98" spans="1:4" ht="13.5" x14ac:dyDescent="0.25">
      <c r="A98" s="790" t="s">
        <v>2007</v>
      </c>
      <c r="B98" s="791" t="s">
        <v>1991</v>
      </c>
      <c r="C98" s="790" t="s">
        <v>2007</v>
      </c>
      <c r="D98" s="791" t="s">
        <v>1991</v>
      </c>
    </row>
    <row r="99" spans="1:4" ht="13.5" x14ac:dyDescent="0.25">
      <c r="A99" s="790" t="s">
        <v>2001</v>
      </c>
      <c r="B99" s="791" t="s">
        <v>1991</v>
      </c>
      <c r="C99" s="790" t="s">
        <v>2001</v>
      </c>
      <c r="D99" s="791" t="s">
        <v>1991</v>
      </c>
    </row>
    <row r="100" spans="1:4" ht="13.5" x14ac:dyDescent="0.25">
      <c r="A100" s="790" t="s">
        <v>2010</v>
      </c>
      <c r="B100" s="791" t="s">
        <v>1991</v>
      </c>
      <c r="C100" s="790" t="s">
        <v>2010</v>
      </c>
      <c r="D100" s="791" t="s">
        <v>1991</v>
      </c>
    </row>
    <row r="101" spans="1:4" ht="13.5" x14ac:dyDescent="0.25">
      <c r="A101" s="790" t="s">
        <v>2002</v>
      </c>
      <c r="B101" s="791" t="s">
        <v>1991</v>
      </c>
      <c r="C101" s="790" t="s">
        <v>2002</v>
      </c>
      <c r="D101" s="791" t="s">
        <v>1991</v>
      </c>
    </row>
    <row r="102" spans="1:4" ht="13.5" x14ac:dyDescent="0.25">
      <c r="A102" s="790" t="s">
        <v>1994</v>
      </c>
      <c r="B102" s="791" t="s">
        <v>1991</v>
      </c>
      <c r="C102" s="790" t="s">
        <v>1994</v>
      </c>
      <c r="D102" s="791" t="s">
        <v>1991</v>
      </c>
    </row>
    <row r="103" spans="1:4" ht="27" x14ac:dyDescent="0.25">
      <c r="A103" s="792" t="s">
        <v>332</v>
      </c>
      <c r="B103" s="790" t="s">
        <v>1991</v>
      </c>
      <c r="C103" s="792" t="s">
        <v>332</v>
      </c>
      <c r="D103" s="790" t="s">
        <v>1991</v>
      </c>
    </row>
    <row r="104" spans="1:4" ht="13.5" x14ac:dyDescent="0.25">
      <c r="A104" s="790" t="s">
        <v>2005</v>
      </c>
      <c r="B104" s="790" t="s">
        <v>1991</v>
      </c>
      <c r="C104" s="790" t="s">
        <v>2005</v>
      </c>
      <c r="D104" s="790" t="s">
        <v>1991</v>
      </c>
    </row>
    <row r="105" spans="1:4" ht="13.5" x14ac:dyDescent="0.25">
      <c r="A105" s="790" t="s">
        <v>1022</v>
      </c>
      <c r="B105" s="791" t="s">
        <v>1991</v>
      </c>
      <c r="C105" s="790" t="s">
        <v>1022</v>
      </c>
      <c r="D105" s="791" t="s">
        <v>1991</v>
      </c>
    </row>
    <row r="106" spans="1:4" ht="13.5" x14ac:dyDescent="0.25">
      <c r="A106" s="790" t="s">
        <v>2007</v>
      </c>
      <c r="B106" s="791" t="s">
        <v>1991</v>
      </c>
      <c r="C106" s="790" t="s">
        <v>2007</v>
      </c>
      <c r="D106" s="791" t="s">
        <v>1991</v>
      </c>
    </row>
    <row r="107" spans="1:4" ht="13.5" x14ac:dyDescent="0.25">
      <c r="A107" s="790" t="s">
        <v>2001</v>
      </c>
      <c r="B107" s="791" t="s">
        <v>1991</v>
      </c>
      <c r="C107" s="790" t="s">
        <v>2001</v>
      </c>
      <c r="D107" s="791" t="s">
        <v>1991</v>
      </c>
    </row>
    <row r="108" spans="1:4" ht="13.5" x14ac:dyDescent="0.25">
      <c r="A108" s="790" t="s">
        <v>2010</v>
      </c>
      <c r="B108" s="791" t="s">
        <v>1991</v>
      </c>
      <c r="C108" s="790" t="s">
        <v>2010</v>
      </c>
      <c r="D108" s="791" t="s">
        <v>1991</v>
      </c>
    </row>
    <row r="109" spans="1:4" ht="13.5" x14ac:dyDescent="0.25">
      <c r="A109" s="790" t="s">
        <v>2002</v>
      </c>
      <c r="B109" s="791" t="s">
        <v>1991</v>
      </c>
      <c r="C109" s="790" t="s">
        <v>2002</v>
      </c>
      <c r="D109" s="791" t="s">
        <v>1991</v>
      </c>
    </row>
    <row r="110" spans="1:4" ht="13.5" x14ac:dyDescent="0.25">
      <c r="A110" s="790" t="s">
        <v>1994</v>
      </c>
      <c r="B110" s="791" t="s">
        <v>1991</v>
      </c>
      <c r="C110" s="790" t="s">
        <v>1994</v>
      </c>
      <c r="D110" s="791" t="s">
        <v>1991</v>
      </c>
    </row>
    <row r="111" spans="1:4" ht="27" x14ac:dyDescent="0.25">
      <c r="A111" s="792" t="s">
        <v>332</v>
      </c>
      <c r="B111" s="790" t="s">
        <v>1991</v>
      </c>
      <c r="C111" s="792" t="s">
        <v>332</v>
      </c>
      <c r="D111" s="790" t="s">
        <v>1991</v>
      </c>
    </row>
    <row r="112" spans="1:4" ht="13.5" x14ac:dyDescent="0.25">
      <c r="A112" s="790" t="s">
        <v>2005</v>
      </c>
      <c r="B112" s="790" t="s">
        <v>1991</v>
      </c>
      <c r="C112" s="790" t="s">
        <v>2005</v>
      </c>
      <c r="D112" s="790" t="s">
        <v>1991</v>
      </c>
    </row>
    <row r="113" spans="1:4" ht="13.5" x14ac:dyDescent="0.25">
      <c r="A113" s="790" t="s">
        <v>1022</v>
      </c>
      <c r="B113" s="791" t="s">
        <v>1991</v>
      </c>
      <c r="C113" s="790" t="s">
        <v>1022</v>
      </c>
      <c r="D113" s="791" t="s">
        <v>1991</v>
      </c>
    </row>
    <row r="114" spans="1:4" ht="13.5" x14ac:dyDescent="0.25">
      <c r="A114" s="790" t="s">
        <v>2007</v>
      </c>
      <c r="B114" s="791" t="s">
        <v>1991</v>
      </c>
      <c r="C114" s="790" t="s">
        <v>2007</v>
      </c>
      <c r="D114" s="791" t="s">
        <v>1991</v>
      </c>
    </row>
    <row r="115" spans="1:4" ht="13.5" x14ac:dyDescent="0.25">
      <c r="A115" s="790" t="s">
        <v>2001</v>
      </c>
      <c r="B115" s="791" t="s">
        <v>1991</v>
      </c>
      <c r="C115" s="790" t="s">
        <v>2001</v>
      </c>
      <c r="D115" s="791" t="s">
        <v>1991</v>
      </c>
    </row>
    <row r="116" spans="1:4" ht="13.5" x14ac:dyDescent="0.25">
      <c r="A116" s="790" t="s">
        <v>2010</v>
      </c>
      <c r="B116" s="791" t="s">
        <v>1991</v>
      </c>
      <c r="C116" s="790" t="s">
        <v>2010</v>
      </c>
      <c r="D116" s="791" t="s">
        <v>1991</v>
      </c>
    </row>
    <row r="117" spans="1:4" ht="13.5" x14ac:dyDescent="0.25">
      <c r="A117" s="790" t="s">
        <v>2002</v>
      </c>
      <c r="B117" s="791" t="s">
        <v>1991</v>
      </c>
      <c r="C117" s="790" t="s">
        <v>2002</v>
      </c>
      <c r="D117" s="791" t="s">
        <v>1991</v>
      </c>
    </row>
    <row r="118" spans="1:4" ht="13.5" x14ac:dyDescent="0.25">
      <c r="A118" s="790" t="s">
        <v>1994</v>
      </c>
      <c r="B118" s="791" t="s">
        <v>1991</v>
      </c>
      <c r="C118" s="790" t="s">
        <v>1994</v>
      </c>
      <c r="D118" s="791" t="s">
        <v>1991</v>
      </c>
    </row>
    <row r="119" spans="1:4" ht="27" x14ac:dyDescent="0.25">
      <c r="A119" s="792" t="s">
        <v>332</v>
      </c>
      <c r="B119" s="790" t="s">
        <v>1991</v>
      </c>
    </row>
    <row r="120" spans="1:4" ht="13.5" x14ac:dyDescent="0.25">
      <c r="A120" s="790" t="s">
        <v>2005</v>
      </c>
      <c r="B120" s="790" t="s">
        <v>1991</v>
      </c>
    </row>
    <row r="121" spans="1:4" ht="13.5" x14ac:dyDescent="0.25">
      <c r="A121" s="790" t="s">
        <v>1022</v>
      </c>
      <c r="B121" s="791" t="s">
        <v>1991</v>
      </c>
    </row>
    <row r="122" spans="1:4" ht="13.5" x14ac:dyDescent="0.25">
      <c r="A122" s="790" t="s">
        <v>2007</v>
      </c>
      <c r="B122" s="791" t="s">
        <v>1991</v>
      </c>
    </row>
    <row r="123" spans="1:4" ht="13.5" x14ac:dyDescent="0.25">
      <c r="A123" s="790" t="s">
        <v>2001</v>
      </c>
      <c r="B123" s="791" t="s">
        <v>1991</v>
      </c>
    </row>
    <row r="124" spans="1:4" ht="13.5" x14ac:dyDescent="0.25">
      <c r="A124" s="790" t="s">
        <v>2010</v>
      </c>
      <c r="B124" s="791" t="s">
        <v>1991</v>
      </c>
    </row>
    <row r="125" spans="1:4" ht="13.5" x14ac:dyDescent="0.25">
      <c r="A125" s="790" t="s">
        <v>2002</v>
      </c>
      <c r="B125" s="791" t="s">
        <v>1991</v>
      </c>
    </row>
    <row r="126" spans="1:4" ht="13.5" x14ac:dyDescent="0.25">
      <c r="A126" s="790" t="s">
        <v>1994</v>
      </c>
      <c r="B126" s="791" t="s">
        <v>1991</v>
      </c>
    </row>
  </sheetData>
  <mergeCells count="1">
    <mergeCell ref="A1:E1"/>
  </mergeCells>
  <hyperlinks>
    <hyperlink ref="D45" r:id="rId1"/>
  </hyperlinks>
  <pageMargins left="0.7" right="0.7" top="0.75" bottom="0.75" header="0.3" footer="0.3"/>
  <pageSetup paperSize="9" orientation="portrait"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36"/>
  <sheetViews>
    <sheetView workbookViewId="0">
      <selection activeCell="D2" sqref="D2"/>
    </sheetView>
  </sheetViews>
  <sheetFormatPr defaultRowHeight="12.75" x14ac:dyDescent="0.2"/>
  <cols>
    <col min="1" max="1" width="96.28515625" customWidth="1"/>
    <col min="3" max="3" width="18.5703125" bestFit="1" customWidth="1"/>
  </cols>
  <sheetData>
    <row r="1" spans="1:6" x14ac:dyDescent="0.2">
      <c r="A1" s="163" t="s">
        <v>271</v>
      </c>
      <c r="C1">
        <v>10</v>
      </c>
      <c r="D1">
        <v>10</v>
      </c>
    </row>
    <row r="2" spans="1:6" x14ac:dyDescent="0.2">
      <c r="A2" s="163" t="s">
        <v>1672</v>
      </c>
      <c r="C2">
        <v>2025</v>
      </c>
      <c r="F2" s="627" t="s">
        <v>621</v>
      </c>
    </row>
    <row r="3" spans="1:6" ht="14.65" customHeight="1" x14ac:dyDescent="0.2">
      <c r="A3" s="163" t="s">
        <v>1673</v>
      </c>
      <c r="F3" s="628" t="s">
        <v>608</v>
      </c>
    </row>
    <row r="4" spans="1:6" ht="25.5" x14ac:dyDescent="0.2">
      <c r="A4" s="163"/>
      <c r="D4" s="629" t="s">
        <v>1674</v>
      </c>
      <c r="E4" s="629" t="s">
        <v>36</v>
      </c>
      <c r="F4" s="84" t="s">
        <v>471</v>
      </c>
    </row>
    <row r="5" spans="1:6" ht="25.5" x14ac:dyDescent="0.2">
      <c r="A5" s="163" t="s">
        <v>1675</v>
      </c>
      <c r="B5" t="s">
        <v>818</v>
      </c>
      <c r="C5" s="163" t="str">
        <f>VLOOKUP(D1,$B$8:$C$19,2,FALSE)</f>
        <v>M10 April</v>
      </c>
      <c r="F5" s="84" t="s">
        <v>558</v>
      </c>
    </row>
    <row r="6" spans="1:6" ht="25.5" x14ac:dyDescent="0.2">
      <c r="A6" s="163"/>
      <c r="C6" t="str">
        <f>C2-1&amp;"/"&amp;RIGHT(C2,2)</f>
        <v>2024/25</v>
      </c>
      <c r="F6" s="84" t="s">
        <v>773</v>
      </c>
    </row>
    <row r="7" spans="1:6" ht="25.5" x14ac:dyDescent="0.2">
      <c r="A7" s="163" t="s">
        <v>1676</v>
      </c>
      <c r="C7" t="str">
        <f>C2-2&amp;"/"&amp;RIGHT((C2-1),2)</f>
        <v>2023/24</v>
      </c>
      <c r="F7" s="84" t="s">
        <v>695</v>
      </c>
    </row>
    <row r="8" spans="1:6" ht="25.5" x14ac:dyDescent="0.2">
      <c r="A8" s="163" t="s">
        <v>1677</v>
      </c>
      <c r="B8" s="630">
        <v>1</v>
      </c>
      <c r="C8" t="s">
        <v>793</v>
      </c>
      <c r="D8" s="629" t="str">
        <f>IF(B8&lt;=$D$1,$D$4,$E$4)</f>
        <v>Actual</v>
      </c>
      <c r="F8" s="84" t="s">
        <v>663</v>
      </c>
    </row>
    <row r="9" spans="1:6" ht="25.5" x14ac:dyDescent="0.2">
      <c r="A9" s="163"/>
      <c r="B9" s="630">
        <v>2</v>
      </c>
      <c r="C9" t="s">
        <v>794</v>
      </c>
      <c r="D9" s="629" t="str">
        <f t="shared" ref="D9:D19" si="0">IF(B9&lt;=$D$1,$D$4,$E$4)</f>
        <v>Actual</v>
      </c>
      <c r="F9" s="84" t="s">
        <v>664</v>
      </c>
    </row>
    <row r="10" spans="1:6" ht="25.5" x14ac:dyDescent="0.2">
      <c r="A10" s="163" t="s">
        <v>1678</v>
      </c>
      <c r="B10" s="630">
        <v>3</v>
      </c>
      <c r="C10" t="s">
        <v>799</v>
      </c>
      <c r="D10" s="629" t="str">
        <f t="shared" si="0"/>
        <v>Actual</v>
      </c>
      <c r="F10" s="84" t="s">
        <v>730</v>
      </c>
    </row>
    <row r="11" spans="1:6" ht="25.5" x14ac:dyDescent="0.2">
      <c r="A11" s="163" t="s">
        <v>1679</v>
      </c>
      <c r="B11" s="630">
        <v>4</v>
      </c>
      <c r="C11" t="s">
        <v>800</v>
      </c>
      <c r="D11" s="629" t="str">
        <f t="shared" si="0"/>
        <v>Actual</v>
      </c>
      <c r="F11" s="84" t="s">
        <v>730</v>
      </c>
    </row>
    <row r="12" spans="1:6" ht="25.5" x14ac:dyDescent="0.2">
      <c r="A12" s="163" t="s">
        <v>1680</v>
      </c>
      <c r="B12" s="630">
        <v>5</v>
      </c>
      <c r="C12" t="s">
        <v>801</v>
      </c>
      <c r="D12" s="629" t="str">
        <f t="shared" si="0"/>
        <v>Actual</v>
      </c>
      <c r="F12" s="84" t="s">
        <v>774</v>
      </c>
    </row>
    <row r="13" spans="1:6" x14ac:dyDescent="0.2">
      <c r="A13" s="163" t="s">
        <v>1681</v>
      </c>
      <c r="B13" s="630">
        <v>6</v>
      </c>
      <c r="C13" t="s">
        <v>802</v>
      </c>
      <c r="D13" s="629" t="str">
        <f t="shared" si="0"/>
        <v>Actual</v>
      </c>
    </row>
    <row r="14" spans="1:6" ht="14.65" customHeight="1" x14ac:dyDescent="0.2">
      <c r="A14" s="163" t="s">
        <v>1682</v>
      </c>
      <c r="B14" s="630">
        <v>7</v>
      </c>
      <c r="C14" t="s">
        <v>803</v>
      </c>
      <c r="D14" s="629" t="str">
        <f t="shared" si="0"/>
        <v>Actual</v>
      </c>
      <c r="F14" s="631" t="s">
        <v>1683</v>
      </c>
    </row>
    <row r="15" spans="1:6" ht="25.5" x14ac:dyDescent="0.2">
      <c r="A15" s="163" t="s">
        <v>1684</v>
      </c>
      <c r="B15" s="630">
        <v>8</v>
      </c>
      <c r="C15" t="s">
        <v>804</v>
      </c>
      <c r="D15" s="629" t="str">
        <f t="shared" si="0"/>
        <v>Actual</v>
      </c>
      <c r="F15" s="631" t="str">
        <f>F14&amp;" "&amp;C6</f>
        <v>Budget Year 2024/25</v>
      </c>
    </row>
    <row r="16" spans="1:6" x14ac:dyDescent="0.2">
      <c r="A16" s="163" t="s">
        <v>1685</v>
      </c>
      <c r="B16" s="630">
        <v>9</v>
      </c>
      <c r="C16" t="s">
        <v>805</v>
      </c>
      <c r="D16" s="629" t="str">
        <f t="shared" si="0"/>
        <v>Actual</v>
      </c>
      <c r="F16" s="631" t="str">
        <f>C7</f>
        <v>2023/24</v>
      </c>
    </row>
    <row r="17" spans="1:6" ht="76.5" x14ac:dyDescent="0.2">
      <c r="A17" s="163" t="s">
        <v>1686</v>
      </c>
      <c r="B17" s="630">
        <v>10</v>
      </c>
      <c r="C17" t="s">
        <v>806</v>
      </c>
      <c r="D17" s="629" t="str">
        <f t="shared" si="0"/>
        <v>Actual</v>
      </c>
      <c r="F17" s="631" t="s">
        <v>1687</v>
      </c>
    </row>
    <row r="18" spans="1:6" ht="25.5" x14ac:dyDescent="0.2">
      <c r="A18" s="163" t="s">
        <v>1688</v>
      </c>
      <c r="B18" s="630">
        <v>11</v>
      </c>
      <c r="C18" t="s">
        <v>807</v>
      </c>
      <c r="D18" s="629" t="str">
        <f t="shared" si="0"/>
        <v>Budget</v>
      </c>
      <c r="F18" s="631" t="s">
        <v>1689</v>
      </c>
    </row>
    <row r="19" spans="1:6" ht="25.5" x14ac:dyDescent="0.2">
      <c r="A19" s="163" t="s">
        <v>1690</v>
      </c>
      <c r="B19" s="630">
        <v>12</v>
      </c>
      <c r="C19" t="s">
        <v>808</v>
      </c>
      <c r="D19" s="629" t="str">
        <f t="shared" si="0"/>
        <v>Budget</v>
      </c>
      <c r="F19" s="631" t="s">
        <v>1691</v>
      </c>
    </row>
    <row r="20" spans="1:6" x14ac:dyDescent="0.2">
      <c r="A20" s="163" t="s">
        <v>1692</v>
      </c>
      <c r="B20">
        <v>13</v>
      </c>
      <c r="C20" t="s">
        <v>795</v>
      </c>
      <c r="F20" s="632" t="s">
        <v>1693</v>
      </c>
    </row>
    <row r="21" spans="1:6" x14ac:dyDescent="0.2">
      <c r="A21" s="163" t="s">
        <v>1694</v>
      </c>
      <c r="B21">
        <v>14</v>
      </c>
      <c r="C21" t="s">
        <v>796</v>
      </c>
    </row>
    <row r="22" spans="1:6" x14ac:dyDescent="0.2">
      <c r="A22" s="163" t="s">
        <v>739</v>
      </c>
      <c r="B22">
        <v>15</v>
      </c>
      <c r="C22" t="s">
        <v>809</v>
      </c>
    </row>
    <row r="23" spans="1:6" x14ac:dyDescent="0.2">
      <c r="A23" s="163" t="s">
        <v>739</v>
      </c>
      <c r="B23">
        <v>16</v>
      </c>
      <c r="C23" t="s">
        <v>810</v>
      </c>
    </row>
    <row r="24" spans="1:6" x14ac:dyDescent="0.2">
      <c r="A24" s="163" t="s">
        <v>1695</v>
      </c>
      <c r="B24">
        <v>17</v>
      </c>
      <c r="C24" t="s">
        <v>792</v>
      </c>
    </row>
    <row r="25" spans="1:6" x14ac:dyDescent="0.2">
      <c r="A25" s="163" t="s">
        <v>1696</v>
      </c>
    </row>
    <row r="26" spans="1:6" ht="13.5" x14ac:dyDescent="0.25">
      <c r="A26" s="163" t="s">
        <v>1697</v>
      </c>
      <c r="C26" s="633" t="s">
        <v>595</v>
      </c>
    </row>
    <row r="27" spans="1:6" x14ac:dyDescent="0.2">
      <c r="A27" s="163" t="s">
        <v>1698</v>
      </c>
      <c r="C27" s="634" t="s">
        <v>524</v>
      </c>
    </row>
    <row r="28" spans="1:6" x14ac:dyDescent="0.2">
      <c r="A28" s="163" t="s">
        <v>1699</v>
      </c>
      <c r="C28" s="634" t="s">
        <v>824</v>
      </c>
    </row>
    <row r="29" spans="1:6" x14ac:dyDescent="0.2">
      <c r="A29" s="163" t="s">
        <v>1700</v>
      </c>
    </row>
    <row r="32" spans="1:6" x14ac:dyDescent="0.2">
      <c r="A32" s="163" t="s">
        <v>1701</v>
      </c>
    </row>
    <row r="33" spans="1:1" x14ac:dyDescent="0.2">
      <c r="A33" s="163" t="s">
        <v>1702</v>
      </c>
    </row>
    <row r="34" spans="1:1" x14ac:dyDescent="0.2">
      <c r="A34" s="163" t="s">
        <v>1703</v>
      </c>
    </row>
    <row r="35" spans="1:1" x14ac:dyDescent="0.2">
      <c r="A35" s="163" t="s">
        <v>1704</v>
      </c>
    </row>
    <row r="36" spans="1:1" x14ac:dyDescent="0.2">
      <c r="A36" s="163" t="s">
        <v>1705</v>
      </c>
    </row>
  </sheetData>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sheetPr>
  <dimension ref="A1:K56"/>
  <sheetViews>
    <sheetView showGridLines="0" tabSelected="1" zoomScaleNormal="100" workbookViewId="0">
      <pane xSplit="1" ySplit="4" topLeftCell="B5" activePane="bottomRight" state="frozen"/>
      <selection pane="topRight"/>
      <selection pane="bottomLeft"/>
      <selection pane="bottomRight"/>
    </sheetView>
  </sheetViews>
  <sheetFormatPr defaultColWidth="9.28515625" defaultRowHeight="12.75" x14ac:dyDescent="0.25"/>
  <cols>
    <col min="1" max="1" width="30.7109375" style="21" customWidth="1"/>
    <col min="2" max="7" width="8.7109375" style="21" customWidth="1"/>
    <col min="8" max="8" width="7.28515625" style="21" bestFit="1" customWidth="1"/>
    <col min="9" max="9" width="6.7109375" style="47" customWidth="1"/>
    <col min="10" max="11" width="8.7109375" style="21" customWidth="1"/>
    <col min="12" max="14" width="7.7109375" style="21" customWidth="1"/>
    <col min="15" max="16384" width="9.28515625" style="21"/>
  </cols>
  <sheetData>
    <row r="1" spans="1:10" ht="13.5" x14ac:dyDescent="0.25">
      <c r="A1" s="163" t="str">
        <f>muni&amp; " - "&amp;s71sum&amp; " - "&amp;date</f>
        <v>KZN282 uMhlathuze - Table C1 Monthly Budget Statement Summary - M10 April</v>
      </c>
      <c r="B1" s="163"/>
      <c r="C1" s="163"/>
      <c r="D1" s="163"/>
      <c r="E1" s="163"/>
      <c r="F1" s="163"/>
      <c r="G1" s="163"/>
      <c r="H1" s="163"/>
      <c r="I1" s="163"/>
      <c r="J1" s="163"/>
    </row>
    <row r="2" spans="1:10" x14ac:dyDescent="0.25">
      <c r="A2" s="830" t="str">
        <f>desc</f>
        <v>Description</v>
      </c>
      <c r="B2" s="83" t="str">
        <f>Head1</f>
        <v>2023/24</v>
      </c>
      <c r="C2" s="832" t="str">
        <f>Head2</f>
        <v>Budget Year 2024/25</v>
      </c>
      <c r="D2" s="833"/>
      <c r="E2" s="833"/>
      <c r="F2" s="833"/>
      <c r="G2" s="833"/>
      <c r="H2" s="833"/>
      <c r="I2" s="833"/>
      <c r="J2" s="834"/>
    </row>
    <row r="3" spans="1:10" ht="25.5" x14ac:dyDescent="0.25">
      <c r="A3" s="831"/>
      <c r="B3" s="84" t="str">
        <f>Head5</f>
        <v>Audited Outcome</v>
      </c>
      <c r="C3" s="100" t="str">
        <f>Head6</f>
        <v>Original Budget</v>
      </c>
      <c r="D3" s="76" t="str">
        <f>Head7</f>
        <v>Adjusted Budget</v>
      </c>
      <c r="E3" s="76" t="str">
        <f>Head38</f>
        <v>Monthly actual</v>
      </c>
      <c r="F3" s="76" t="str">
        <f>Head39</f>
        <v>YearTD actual</v>
      </c>
      <c r="G3" s="76" t="str">
        <f>Head40</f>
        <v>YearTD budget</v>
      </c>
      <c r="H3" s="76" t="str">
        <f>Head41</f>
        <v>YTD variance</v>
      </c>
      <c r="I3" s="103" t="str">
        <f>Head41</f>
        <v>YTD variance</v>
      </c>
      <c r="J3" s="86" t="str">
        <f>Head8</f>
        <v>Full Year Forecast</v>
      </c>
    </row>
    <row r="4" spans="1:10" ht="11.25" customHeight="1" x14ac:dyDescent="0.25">
      <c r="A4" s="94" t="s">
        <v>615</v>
      </c>
      <c r="B4" s="17"/>
      <c r="C4" s="119"/>
      <c r="D4" s="57"/>
      <c r="E4" s="57"/>
      <c r="F4" s="57"/>
      <c r="G4" s="57"/>
      <c r="H4" s="57"/>
      <c r="I4" s="136" t="s">
        <v>528</v>
      </c>
      <c r="J4" s="120"/>
    </row>
    <row r="5" spans="1:10" ht="12.75" customHeight="1" x14ac:dyDescent="0.25">
      <c r="A5" s="290" t="s">
        <v>696</v>
      </c>
      <c r="B5" s="88"/>
      <c r="C5" s="123"/>
      <c r="D5" s="87"/>
      <c r="E5" s="87"/>
      <c r="F5" s="87"/>
      <c r="G5" s="87"/>
      <c r="H5" s="87"/>
      <c r="I5" s="101"/>
      <c r="J5" s="157"/>
    </row>
    <row r="6" spans="1:10" ht="12.75" customHeight="1" x14ac:dyDescent="0.25">
      <c r="A6" s="291" t="s">
        <v>856</v>
      </c>
      <c r="B6" s="74">
        <f>SUM('C4-FinPerf RE'!C22)</f>
        <v>675918334.32000005</v>
      </c>
      <c r="C6" s="36">
        <f>SUM('C4-FinPerf RE'!D22)</f>
        <v>778223600</v>
      </c>
      <c r="D6" s="34">
        <f>SUM('C4-FinPerf RE'!E22)</f>
        <v>778223600</v>
      </c>
      <c r="E6" s="34">
        <f>SUM('C4-FinPerf RE'!F22)</f>
        <v>58587732.939999998</v>
      </c>
      <c r="F6" s="34">
        <f>SUM('C4-FinPerf RE'!G22)</f>
        <v>638650203.94000006</v>
      </c>
      <c r="G6" s="68">
        <f>SUM('C4-FinPerf RE'!H22)</f>
        <v>647887822.46000004</v>
      </c>
      <c r="H6" s="34">
        <f>F6-G6</f>
        <v>-9237618.5199999809</v>
      </c>
      <c r="I6" s="227">
        <f>IF(H6=0,"",H6/G6)</f>
        <v>-1.4258052396980038E-2</v>
      </c>
      <c r="J6" s="78">
        <f>SUM('C4-FinPerf RE'!K22)</f>
        <v>778223600</v>
      </c>
    </row>
    <row r="7" spans="1:10" ht="12.75" customHeight="1" x14ac:dyDescent="0.25">
      <c r="A7" s="291" t="s">
        <v>887</v>
      </c>
      <c r="B7" s="74">
        <f>SUM('C4-FinPerf RE'!C7:C10)</f>
        <v>2826118179.1400003</v>
      </c>
      <c r="C7" s="36">
        <f>SUM('C4-FinPerf RE'!D7:D10)</f>
        <v>3439005900</v>
      </c>
      <c r="D7" s="148">
        <f>SUM('C4-FinPerf RE'!E7:E10)</f>
        <v>3174047200</v>
      </c>
      <c r="E7" s="34">
        <f>SUM('C4-FinPerf RE'!F7:F10)</f>
        <v>257724218.86000001</v>
      </c>
      <c r="F7" s="34">
        <f>SUM('C4-FinPerf RE'!G7:G10)</f>
        <v>2616647944.71</v>
      </c>
      <c r="G7" s="33">
        <f>SUM('C4-FinPerf RE'!H7:H10)</f>
        <v>2579721590.1199999</v>
      </c>
      <c r="H7" s="34">
        <f>F7-G7</f>
        <v>36926354.590000153</v>
      </c>
      <c r="I7" s="105">
        <f>IF(H7=0,"",H7/G7)</f>
        <v>1.431408518323191E-2</v>
      </c>
      <c r="J7" s="78">
        <f>SUM('C4-FinPerf RE'!K7:K10)</f>
        <v>3174047200</v>
      </c>
    </row>
    <row r="8" spans="1:10" ht="12.75" customHeight="1" x14ac:dyDescent="0.25">
      <c r="A8" s="291" t="s">
        <v>450</v>
      </c>
      <c r="B8" s="74">
        <f>'C4-FinPerf RE'!C15</f>
        <v>33923521.030000001</v>
      </c>
      <c r="C8" s="36">
        <f>'C4-FinPerf RE'!D15</f>
        <v>45000000</v>
      </c>
      <c r="D8" s="34">
        <f>'C4-FinPerf RE'!E15</f>
        <v>45000000</v>
      </c>
      <c r="E8" s="34">
        <f>'C4-FinPerf RE'!F15</f>
        <v>3825416.8</v>
      </c>
      <c r="F8" s="34">
        <f>'C4-FinPerf RE'!G15</f>
        <v>31388590.390000001</v>
      </c>
      <c r="G8" s="34">
        <f>'C4-FinPerf RE'!H15</f>
        <v>32073672.690000001</v>
      </c>
      <c r="H8" s="148">
        <f>F8-G8</f>
        <v>-685082.30000000075</v>
      </c>
      <c r="I8" s="105">
        <f>IF(H8=0,"",H8/G8)</f>
        <v>-2.1359646169039979E-2</v>
      </c>
      <c r="J8" s="78">
        <f>'C4-FinPerf RE'!K15</f>
        <v>45000000</v>
      </c>
    </row>
    <row r="9" spans="1:10" ht="12.75" customHeight="1" x14ac:dyDescent="0.25">
      <c r="A9" s="611" t="s">
        <v>1278</v>
      </c>
      <c r="B9" s="74">
        <f>'C4-FinPerf RE'!C26</f>
        <v>554728226.22000003</v>
      </c>
      <c r="C9" s="36">
        <f>'C4-FinPerf RE'!D26</f>
        <v>587345000</v>
      </c>
      <c r="D9" s="34">
        <f>'C4-FinPerf RE'!E26</f>
        <v>592697200</v>
      </c>
      <c r="E9" s="34">
        <f>'C4-FinPerf RE'!F26</f>
        <v>989830.4</v>
      </c>
      <c r="F9" s="34">
        <f>'C4-FinPerf RE'!G26</f>
        <v>578131256.75</v>
      </c>
      <c r="G9" s="34">
        <f>'C4-FinPerf RE'!H26</f>
        <v>594917902.48000002</v>
      </c>
      <c r="H9" s="148">
        <f>F9-G9</f>
        <v>-16786645.730000019</v>
      </c>
      <c r="I9" s="105">
        <f>IF(H9=0,"",H9/G9)</f>
        <v>-2.821674328511967E-2</v>
      </c>
      <c r="J9" s="78">
        <f>'C4-FinPerf RE'!K26</f>
        <v>592697200</v>
      </c>
    </row>
    <row r="10" spans="1:10" ht="12.75" customHeight="1" x14ac:dyDescent="0.25">
      <c r="A10" s="292" t="s">
        <v>449</v>
      </c>
      <c r="B10" s="142">
        <f>+B11-SUM(B6:B9)</f>
        <v>917015025.29999924</v>
      </c>
      <c r="C10" s="219">
        <f t="shared" ref="C10:G10" si="0">+C11-SUM(C6:C9)</f>
        <v>749877300</v>
      </c>
      <c r="D10" s="608">
        <f t="shared" si="0"/>
        <v>748071747</v>
      </c>
      <c r="E10" s="65">
        <f t="shared" si="0"/>
        <v>43281340.060000062</v>
      </c>
      <c r="F10" s="65">
        <f t="shared" si="0"/>
        <v>585729405.68000031</v>
      </c>
      <c r="G10" s="65">
        <f t="shared" si="0"/>
        <v>595229320.55000019</v>
      </c>
      <c r="H10" s="608">
        <f>F10-G10</f>
        <v>-9499914.8699998856</v>
      </c>
      <c r="I10" s="106">
        <f>IF(H10=0,"",H10/G10)</f>
        <v>-1.5960092256916764E-2</v>
      </c>
      <c r="J10" s="97">
        <v>0</v>
      </c>
    </row>
    <row r="11" spans="1:10" ht="23.25" customHeight="1" x14ac:dyDescent="0.25">
      <c r="A11" s="294" t="s">
        <v>116</v>
      </c>
      <c r="B11" s="143">
        <f>+'C4-FinPerf RE'!C33</f>
        <v>5007703286.0100002</v>
      </c>
      <c r="C11" s="144">
        <f>+'C4-FinPerf RE'!D33</f>
        <v>5599451800</v>
      </c>
      <c r="D11" s="145">
        <f>+'C4-FinPerf RE'!E33</f>
        <v>5338039747</v>
      </c>
      <c r="E11" s="145">
        <f>+'C4-FinPerf RE'!F33</f>
        <v>364408539.06000006</v>
      </c>
      <c r="F11" s="145">
        <f>+'C4-FinPerf RE'!G33</f>
        <v>4450547401.4700003</v>
      </c>
      <c r="G11" s="145">
        <f>+'C4-FinPerf RE'!H33</f>
        <v>4449830308.3000002</v>
      </c>
      <c r="H11" s="762">
        <f t="shared" ref="H11:H25" si="1">F11-G11</f>
        <v>717093.17000007629</v>
      </c>
      <c r="I11" s="229">
        <f t="shared" ref="I11:I25" si="2">IF(H11=0,"",H11/G11)</f>
        <v>1.6115067773764892E-4</v>
      </c>
      <c r="J11" s="146">
        <f>+'C4-FinPerf RE'!K33</f>
        <v>5338039747</v>
      </c>
    </row>
    <row r="12" spans="1:10" ht="12.75" customHeight="1" x14ac:dyDescent="0.25">
      <c r="A12" s="291" t="s">
        <v>432</v>
      </c>
      <c r="B12" s="74">
        <f>'C4-FinPerf RE'!C35</f>
        <v>1155996572.21</v>
      </c>
      <c r="C12" s="36">
        <f>'C4-FinPerf RE'!D35</f>
        <v>1257067700</v>
      </c>
      <c r="D12" s="34">
        <f>'C4-FinPerf RE'!E35</f>
        <v>1197348600</v>
      </c>
      <c r="E12" s="34">
        <f>'C4-FinPerf RE'!F35</f>
        <v>92704825.790000007</v>
      </c>
      <c r="F12" s="34">
        <f>'C4-FinPerf RE'!G35</f>
        <v>948543138.57000005</v>
      </c>
      <c r="G12" s="34">
        <f>'C4-FinPerf RE'!H35</f>
        <v>972580606.50999999</v>
      </c>
      <c r="H12" s="148">
        <f t="shared" si="1"/>
        <v>-24037467.939999938</v>
      </c>
      <c r="I12" s="105"/>
      <c r="J12" s="78">
        <f>'C4-FinPerf RE'!K35</f>
        <v>1197348600</v>
      </c>
    </row>
    <row r="13" spans="1:10" ht="12.75" customHeight="1" x14ac:dyDescent="0.25">
      <c r="A13" s="291" t="s">
        <v>777</v>
      </c>
      <c r="B13" s="74">
        <f>'C4-FinPerf RE'!C36</f>
        <v>30596809.02</v>
      </c>
      <c r="C13" s="36">
        <f>'C4-FinPerf RE'!D36</f>
        <v>35202700</v>
      </c>
      <c r="D13" s="34">
        <f>'C4-FinPerf RE'!E36</f>
        <v>38433400</v>
      </c>
      <c r="E13" s="34">
        <f>'C4-FinPerf RE'!F36</f>
        <v>2790662.38</v>
      </c>
      <c r="F13" s="34">
        <f>'C4-FinPerf RE'!G36</f>
        <v>28233644.620000001</v>
      </c>
      <c r="G13" s="68">
        <f>'C4-FinPerf RE'!H36</f>
        <v>30260294.149999999</v>
      </c>
      <c r="H13" s="34">
        <f t="shared" si="1"/>
        <v>-2026649.5299999975</v>
      </c>
      <c r="I13" s="105"/>
      <c r="J13" s="78">
        <f>'C4-FinPerf RE'!K36</f>
        <v>38433400</v>
      </c>
    </row>
    <row r="14" spans="1:10" ht="12.75" customHeight="1" x14ac:dyDescent="0.25">
      <c r="A14" s="611" t="s">
        <v>1279</v>
      </c>
      <c r="B14" s="74">
        <f>'C4-FinPerf RE'!C40</f>
        <v>325363993.07999998</v>
      </c>
      <c r="C14" s="36">
        <f>'C4-FinPerf RE'!D40</f>
        <v>305949500</v>
      </c>
      <c r="D14" s="34">
        <f>'C4-FinPerf RE'!E40</f>
        <v>352759106.20999998</v>
      </c>
      <c r="E14" s="34">
        <f>'C4-FinPerf RE'!F40</f>
        <v>28737476.43</v>
      </c>
      <c r="F14" s="34">
        <f>'C4-FinPerf RE'!G40</f>
        <v>290740789.87</v>
      </c>
      <c r="G14" s="68">
        <f>'C4-FinPerf RE'!H40</f>
        <v>292460851.92000002</v>
      </c>
      <c r="H14" s="34">
        <f t="shared" si="1"/>
        <v>-1720062.0500000119</v>
      </c>
      <c r="I14" s="105"/>
      <c r="J14" s="78">
        <f>'C4-FinPerf RE'!K40</f>
        <v>352759106.20999998</v>
      </c>
    </row>
    <row r="15" spans="1:10" ht="12.75" customHeight="1" x14ac:dyDescent="0.25">
      <c r="A15" s="291" t="s">
        <v>817</v>
      </c>
      <c r="B15" s="74">
        <f>'C4-FinPerf RE'!C41</f>
        <v>158839238.19999999</v>
      </c>
      <c r="C15" s="36">
        <f>'C4-FinPerf RE'!D41</f>
        <v>178823500</v>
      </c>
      <c r="D15" s="34">
        <f>'C4-FinPerf RE'!E41</f>
        <v>184846100</v>
      </c>
      <c r="E15" s="34">
        <f>'C4-FinPerf RE'!F41</f>
        <v>16903285.699999999</v>
      </c>
      <c r="F15" s="34">
        <f>'C4-FinPerf RE'!G41</f>
        <v>161055737.38999999</v>
      </c>
      <c r="G15" s="68">
        <f>'C4-FinPerf RE'!H41</f>
        <v>153636465.36000001</v>
      </c>
      <c r="H15" s="34">
        <f t="shared" si="1"/>
        <v>7419272.0299999714</v>
      </c>
      <c r="I15" s="105"/>
      <c r="J15" s="78">
        <f>'C4-FinPerf RE'!K41</f>
        <v>184846100</v>
      </c>
    </row>
    <row r="16" spans="1:10" ht="12.75" customHeight="1" x14ac:dyDescent="0.25">
      <c r="A16" s="291" t="s">
        <v>1274</v>
      </c>
      <c r="B16" s="74">
        <f>SUM('C4-FinPerf RE'!C37+'C4-FinPerf RE'!C38)</f>
        <v>2038090844.9000001</v>
      </c>
      <c r="C16" s="36">
        <f>SUM('C4-FinPerf RE'!D37+'C4-FinPerf RE'!D38)</f>
        <v>2294864500</v>
      </c>
      <c r="D16" s="34">
        <f>SUM('C4-FinPerf RE'!E37+'C4-FinPerf RE'!E38)</f>
        <v>2288011700</v>
      </c>
      <c r="E16" s="34">
        <f>SUM('C4-FinPerf RE'!F37+'C4-FinPerf RE'!F38)</f>
        <v>153129217.69999999</v>
      </c>
      <c r="F16" s="34">
        <f>SUM('C4-FinPerf RE'!G37+'C4-FinPerf RE'!G38)</f>
        <v>1858376867.72</v>
      </c>
      <c r="G16" s="68">
        <f>SUM('C4-FinPerf RE'!H37+'C4-FinPerf RE'!H38)</f>
        <v>1848406509.0600002</v>
      </c>
      <c r="H16" s="34">
        <f t="shared" si="1"/>
        <v>9970358.6599998474</v>
      </c>
      <c r="I16" s="105"/>
      <c r="J16" s="78">
        <f>SUM('C4-FinPerf RE'!K37+'C4-FinPerf RE'!K38)</f>
        <v>2288011700</v>
      </c>
    </row>
    <row r="17" spans="1:11" ht="12.75" customHeight="1" x14ac:dyDescent="0.25">
      <c r="A17" s="611" t="s">
        <v>1024</v>
      </c>
      <c r="B17" s="74">
        <f>'C4-FinPerf RE'!C43</f>
        <v>8927436.4299999997</v>
      </c>
      <c r="C17" s="36">
        <f>'C4-FinPerf RE'!D43</f>
        <v>7582000</v>
      </c>
      <c r="D17" s="34">
        <f>'C4-FinPerf RE'!E43</f>
        <v>6432000</v>
      </c>
      <c r="E17" s="34">
        <f>'C4-FinPerf RE'!F43</f>
        <v>66000</v>
      </c>
      <c r="F17" s="34">
        <f>'C4-FinPerf RE'!G43</f>
        <v>1820462.1</v>
      </c>
      <c r="G17" s="68">
        <f>'C4-FinPerf RE'!H43</f>
        <v>2937891.1</v>
      </c>
      <c r="H17" s="34">
        <f t="shared" si="1"/>
        <v>-1117429</v>
      </c>
      <c r="I17" s="105">
        <f t="shared" si="2"/>
        <v>-0.38035072164519645</v>
      </c>
      <c r="J17" s="78">
        <f>'C4-FinPerf RE'!K43</f>
        <v>6432000</v>
      </c>
    </row>
    <row r="18" spans="1:11" ht="12.75" customHeight="1" x14ac:dyDescent="0.25">
      <c r="A18" s="291" t="s">
        <v>395</v>
      </c>
      <c r="B18" s="74">
        <f>'C4-FinPerf RE'!C48-SUM('C1-Sum'!B12:B17)</f>
        <v>1538644184.4400001</v>
      </c>
      <c r="C18" s="36">
        <f>'C4-FinPerf RE'!D48-SUM('C1-Sum'!C12:C17)</f>
        <v>1510428400</v>
      </c>
      <c r="D18" s="34">
        <f>'C4-FinPerf RE'!E48-SUM('C1-Sum'!D12:D17)</f>
        <v>1556086200.04</v>
      </c>
      <c r="E18" s="34">
        <f>'C4-FinPerf RE'!F48-SUM('C1-Sum'!E12:E17)</f>
        <v>86471894.149999976</v>
      </c>
      <c r="F18" s="34">
        <f>'C4-FinPerf RE'!G48-SUM('C1-Sum'!F12:F17)</f>
        <v>1246232099.5599999</v>
      </c>
      <c r="G18" s="68">
        <f>'C4-FinPerf RE'!H48-SUM('C1-Sum'!G12:G17)</f>
        <v>1282714550.9499993</v>
      </c>
      <c r="H18" s="34">
        <f t="shared" si="1"/>
        <v>-36482451.38999939</v>
      </c>
      <c r="I18" s="105">
        <f t="shared" si="2"/>
        <v>-2.8441597830928082E-2</v>
      </c>
      <c r="J18" s="78">
        <f>'C4-FinPerf RE'!K48-SUM('C1-Sum'!J12:J17)</f>
        <v>1556086200.04</v>
      </c>
    </row>
    <row r="19" spans="1:11" ht="12.75" customHeight="1" x14ac:dyDescent="0.25">
      <c r="A19" s="296" t="s">
        <v>443</v>
      </c>
      <c r="B19" s="220">
        <f t="shared" ref="B19:G19" si="3">SUM(B12:B18)</f>
        <v>5256459078.2799997</v>
      </c>
      <c r="C19" s="297">
        <f t="shared" si="3"/>
        <v>5589918300</v>
      </c>
      <c r="D19" s="221">
        <f t="shared" si="3"/>
        <v>5623917106.25</v>
      </c>
      <c r="E19" s="221">
        <f t="shared" si="3"/>
        <v>380803362.14999998</v>
      </c>
      <c r="F19" s="221">
        <f t="shared" si="3"/>
        <v>4535002739.8299999</v>
      </c>
      <c r="G19" s="298">
        <f t="shared" si="3"/>
        <v>4582997169.0499992</v>
      </c>
      <c r="H19" s="221">
        <f t="shared" si="1"/>
        <v>-47994429.219999313</v>
      </c>
      <c r="I19" s="186">
        <f t="shared" si="2"/>
        <v>-1.0472279918503198E-2</v>
      </c>
      <c r="J19" s="222">
        <f>SUM(J12:J18)</f>
        <v>5623917106.25</v>
      </c>
    </row>
    <row r="20" spans="1:11" ht="12.75" customHeight="1" x14ac:dyDescent="0.25">
      <c r="A20" s="296" t="s">
        <v>444</v>
      </c>
      <c r="B20" s="69">
        <f t="shared" ref="B20:G20" si="4">B11-B19</f>
        <v>-248755792.2699995</v>
      </c>
      <c r="C20" s="39">
        <f t="shared" si="4"/>
        <v>9533500</v>
      </c>
      <c r="D20" s="38">
        <f t="shared" si="4"/>
        <v>-285877359.25</v>
      </c>
      <c r="E20" s="38">
        <f t="shared" si="4"/>
        <v>-16394823.089999914</v>
      </c>
      <c r="F20" s="38">
        <f t="shared" si="4"/>
        <v>-84455338.359999657</v>
      </c>
      <c r="G20" s="70">
        <f t="shared" si="4"/>
        <v>-133166860.74999905</v>
      </c>
      <c r="H20" s="38">
        <f t="shared" si="1"/>
        <v>48711522.38999939</v>
      </c>
      <c r="I20" s="104">
        <f t="shared" si="2"/>
        <v>-0.36579312687597271</v>
      </c>
      <c r="J20" s="96">
        <f>J11-J19</f>
        <v>-285877359.25</v>
      </c>
    </row>
    <row r="21" spans="1:11" s="288" customFormat="1" ht="13.15" customHeight="1" x14ac:dyDescent="0.25">
      <c r="A21" s="442" t="s">
        <v>1302</v>
      </c>
      <c r="B21" s="299">
        <f>'C4-FinPerf RE'!C50</f>
        <v>258305938.52000001</v>
      </c>
      <c r="C21" s="300">
        <f>'C4-FinPerf RE'!D50</f>
        <v>219003000</v>
      </c>
      <c r="D21" s="301">
        <f>'C4-FinPerf RE'!E50</f>
        <v>227008100</v>
      </c>
      <c r="E21" s="301">
        <f>'C4-FinPerf RE'!F50</f>
        <v>21704677.170000002</v>
      </c>
      <c r="F21" s="301">
        <f>'C4-FinPerf RE'!G50</f>
        <v>166948039.93000001</v>
      </c>
      <c r="G21" s="289">
        <f>'C4-FinPerf RE'!H50</f>
        <v>173963692.47999999</v>
      </c>
      <c r="H21" s="301">
        <f t="shared" si="1"/>
        <v>-7015652.5499999821</v>
      </c>
      <c r="I21" s="758">
        <f t="shared" si="2"/>
        <v>-4.0328257293150684E-2</v>
      </c>
      <c r="J21" s="302">
        <f>'C4-FinPerf RE'!K50</f>
        <v>227008100</v>
      </c>
    </row>
    <row r="22" spans="1:11" ht="13.9" customHeight="1" x14ac:dyDescent="0.25">
      <c r="A22" s="442" t="s">
        <v>1303</v>
      </c>
      <c r="B22" s="142">
        <f>SUM('C4-FinPerf RE'!C51:C51)</f>
        <v>0</v>
      </c>
      <c r="C22" s="219">
        <f>SUM('C4-FinPerf RE'!D51:D51)</f>
        <v>0</v>
      </c>
      <c r="D22" s="65">
        <f>SUM('C4-FinPerf RE'!E51:E51)</f>
        <v>0</v>
      </c>
      <c r="E22" s="65">
        <f>SUM('C4-FinPerf RE'!F51:F51)</f>
        <v>0</v>
      </c>
      <c r="F22" s="65">
        <f>SUM('C4-FinPerf RE'!G51:G51)</f>
        <v>0</v>
      </c>
      <c r="G22" s="293">
        <f>SUM('C4-FinPerf RE'!H51:H51)</f>
        <v>0</v>
      </c>
      <c r="H22" s="65">
        <f t="shared" si="1"/>
        <v>0</v>
      </c>
      <c r="I22" s="106" t="str">
        <f t="shared" si="2"/>
        <v/>
      </c>
      <c r="J22" s="97">
        <f>SUM('C4-FinPerf RE'!K51:K51)</f>
        <v>0</v>
      </c>
    </row>
    <row r="23" spans="1:11" ht="25.5" x14ac:dyDescent="0.25">
      <c r="A23" s="294" t="s">
        <v>700</v>
      </c>
      <c r="B23" s="143">
        <f t="shared" ref="B23:G23" si="5">B20+B21+B22</f>
        <v>9550146.2500005066</v>
      </c>
      <c r="C23" s="144">
        <f t="shared" si="5"/>
        <v>228536500</v>
      </c>
      <c r="D23" s="145">
        <f t="shared" si="5"/>
        <v>-58869259.25</v>
      </c>
      <c r="E23" s="145">
        <f t="shared" si="5"/>
        <v>5309854.0800000876</v>
      </c>
      <c r="F23" s="145">
        <f t="shared" si="5"/>
        <v>82492701.57000035</v>
      </c>
      <c r="G23" s="295">
        <f t="shared" si="5"/>
        <v>40796831.730000943</v>
      </c>
      <c r="H23" s="145">
        <f t="shared" si="1"/>
        <v>41695869.839999408</v>
      </c>
      <c r="I23" s="228">
        <f t="shared" si="2"/>
        <v>1.0220369590449676</v>
      </c>
      <c r="J23" s="146">
        <f>J20+J21+J22</f>
        <v>-58869259.25</v>
      </c>
    </row>
    <row r="24" spans="1:11" ht="12.75" customHeight="1" x14ac:dyDescent="0.25">
      <c r="A24" s="303" t="s">
        <v>435</v>
      </c>
      <c r="B24" s="74">
        <f>'C4-FinPerf RE'!C59</f>
        <v>0</v>
      </c>
      <c r="C24" s="36">
        <f>'C4-FinPerf RE'!D59</f>
        <v>0</v>
      </c>
      <c r="D24" s="34">
        <f>'C4-FinPerf RE'!E59</f>
        <v>0</v>
      </c>
      <c r="E24" s="34">
        <f>'C4-FinPerf RE'!F59</f>
        <v>0</v>
      </c>
      <c r="F24" s="34">
        <f>'C4-FinPerf RE'!G59</f>
        <v>0</v>
      </c>
      <c r="G24" s="68">
        <f>'C4-FinPerf RE'!H59</f>
        <v>0</v>
      </c>
      <c r="H24" s="34">
        <f t="shared" si="1"/>
        <v>0</v>
      </c>
      <c r="I24" s="105" t="str">
        <f t="shared" si="2"/>
        <v/>
      </c>
      <c r="J24" s="78">
        <f>'C4-FinPerf RE'!K59</f>
        <v>0</v>
      </c>
    </row>
    <row r="25" spans="1:11" ht="12.75" customHeight="1" x14ac:dyDescent="0.25">
      <c r="A25" s="294" t="s">
        <v>824</v>
      </c>
      <c r="B25" s="69">
        <f t="shared" ref="B25:G25" si="6">B23+B24</f>
        <v>9550146.2500005066</v>
      </c>
      <c r="C25" s="39">
        <f t="shared" si="6"/>
        <v>228536500</v>
      </c>
      <c r="D25" s="38">
        <f t="shared" si="6"/>
        <v>-58869259.25</v>
      </c>
      <c r="E25" s="38">
        <f t="shared" si="6"/>
        <v>5309854.0800000876</v>
      </c>
      <c r="F25" s="38">
        <f t="shared" si="6"/>
        <v>82492701.57000035</v>
      </c>
      <c r="G25" s="70">
        <f t="shared" si="6"/>
        <v>40796831.730000943</v>
      </c>
      <c r="H25" s="38">
        <f t="shared" si="1"/>
        <v>41695869.839999408</v>
      </c>
      <c r="I25" s="104">
        <f t="shared" si="2"/>
        <v>1.0220369590449676</v>
      </c>
      <c r="J25" s="96">
        <f>J23+J24</f>
        <v>-58869259.25</v>
      </c>
    </row>
    <row r="26" spans="1:11" ht="5.0999999999999996" customHeight="1" x14ac:dyDescent="0.25">
      <c r="A26" s="82"/>
      <c r="B26" s="107"/>
      <c r="C26" s="108"/>
      <c r="D26" s="26"/>
      <c r="E26" s="26"/>
      <c r="F26" s="26"/>
      <c r="G26" s="26"/>
      <c r="H26" s="26"/>
      <c r="I26" s="109"/>
      <c r="J26" s="110"/>
    </row>
    <row r="27" spans="1:11" ht="12.75" customHeight="1" x14ac:dyDescent="0.25">
      <c r="A27" s="91" t="s">
        <v>852</v>
      </c>
      <c r="B27" s="111"/>
      <c r="C27" s="112"/>
      <c r="D27" s="25"/>
      <c r="E27" s="25"/>
      <c r="F27" s="25"/>
      <c r="G27" s="25"/>
      <c r="H27" s="25"/>
      <c r="I27" s="113"/>
      <c r="J27" s="114"/>
    </row>
    <row r="28" spans="1:11" ht="12.75" customHeight="1" x14ac:dyDescent="0.25">
      <c r="A28" s="296" t="s">
        <v>534</v>
      </c>
      <c r="B28" s="220">
        <f>'C5-Capex'!C40</f>
        <v>797757097.44999993</v>
      </c>
      <c r="C28" s="297">
        <f>'C5-Capex'!D40</f>
        <v>610994000</v>
      </c>
      <c r="D28" s="221">
        <f>'C5-Capex'!E40</f>
        <v>627805200</v>
      </c>
      <c r="E28" s="221">
        <f>'C5-Capex'!F40</f>
        <v>32044528.370000001</v>
      </c>
      <c r="F28" s="221">
        <f>'C5-Capex'!G40</f>
        <v>404573982.09999996</v>
      </c>
      <c r="G28" s="298">
        <f>'C5-Capex'!H40</f>
        <v>495245934.40000004</v>
      </c>
      <c r="H28" s="221">
        <f t="shared" ref="H28:H33" si="7">F28-G28</f>
        <v>-90671952.300000072</v>
      </c>
      <c r="I28" s="186">
        <f t="shared" ref="I28:I33" si="8">IF(H28=0,"",H28/G28)</f>
        <v>-0.18308469792861778</v>
      </c>
      <c r="J28" s="222">
        <f>'C5-Capex'!K40</f>
        <v>627805200</v>
      </c>
    </row>
    <row r="29" spans="1:11" ht="12.75" customHeight="1" x14ac:dyDescent="0.25">
      <c r="A29" s="291" t="s">
        <v>453</v>
      </c>
      <c r="B29" s="74">
        <f>'C5-Capex'!C70</f>
        <v>239617013.95000002</v>
      </c>
      <c r="C29" s="36">
        <f>'C5-Capex'!D70</f>
        <v>219003000</v>
      </c>
      <c r="D29" s="34">
        <f>'C5-Capex'!E70</f>
        <v>227008100</v>
      </c>
      <c r="E29" s="34">
        <f>'C5-Capex'!F70</f>
        <v>-1401060.07</v>
      </c>
      <c r="F29" s="34">
        <f>'C5-Capex'!G70</f>
        <v>149031677.03999999</v>
      </c>
      <c r="G29" s="68">
        <f>'C5-Capex'!H70</f>
        <v>215783152.19</v>
      </c>
      <c r="H29" s="34">
        <f t="shared" si="7"/>
        <v>-66751475.150000006</v>
      </c>
      <c r="I29" s="227">
        <f t="shared" si="8"/>
        <v>-0.30934516653656269</v>
      </c>
      <c r="J29" s="78">
        <f>'C5-Capex'!K70</f>
        <v>227008100</v>
      </c>
      <c r="K29" s="81"/>
    </row>
    <row r="30" spans="1:11" ht="1.1499999999999999" customHeight="1" x14ac:dyDescent="0.25">
      <c r="A30" s="291"/>
      <c r="B30" s="74"/>
      <c r="C30" s="36"/>
      <c r="D30" s="34"/>
      <c r="E30" s="34"/>
      <c r="F30" s="34"/>
      <c r="G30" s="68"/>
      <c r="H30" s="34"/>
      <c r="I30" s="105"/>
      <c r="J30" s="78"/>
      <c r="K30" s="81"/>
    </row>
    <row r="31" spans="1:11" ht="12.75" customHeight="1" x14ac:dyDescent="0.25">
      <c r="A31" s="291" t="s">
        <v>725</v>
      </c>
      <c r="B31" s="74">
        <f>'C5-Capex'!C72</f>
        <v>387280101.69</v>
      </c>
      <c r="C31" s="36">
        <f>'C5-Capex'!D72</f>
        <v>380000000</v>
      </c>
      <c r="D31" s="34">
        <f>'C5-Capex'!E72</f>
        <v>380157400</v>
      </c>
      <c r="E31" s="34">
        <f>'C5-Capex'!F72</f>
        <v>6400345.3300000001</v>
      </c>
      <c r="F31" s="34">
        <f>'C5-Capex'!G72</f>
        <v>224096134.63999999</v>
      </c>
      <c r="G31" s="68">
        <f>'C5-Capex'!H72</f>
        <v>263512110.40000001</v>
      </c>
      <c r="H31" s="34">
        <f t="shared" si="7"/>
        <v>-39415975.76000002</v>
      </c>
      <c r="I31" s="105">
        <f t="shared" si="8"/>
        <v>-0.14957937113466349</v>
      </c>
      <c r="J31" s="78">
        <f>'C5-Capex'!K72</f>
        <v>380157400</v>
      </c>
      <c r="K31" s="81"/>
    </row>
    <row r="32" spans="1:11" ht="12.75" customHeight="1" x14ac:dyDescent="0.25">
      <c r="A32" s="291" t="s">
        <v>429</v>
      </c>
      <c r="B32" s="220">
        <f>'C5-Capex'!C73</f>
        <v>170827006.81</v>
      </c>
      <c r="C32" s="297">
        <f>'C5-Capex'!D73</f>
        <v>11991000</v>
      </c>
      <c r="D32" s="221">
        <f>'C5-Capex'!E73</f>
        <v>20639700</v>
      </c>
      <c r="E32" s="221">
        <f>'C5-Capex'!F73</f>
        <v>27045243.109999999</v>
      </c>
      <c r="F32" s="221">
        <f>'C5-Capex'!G73</f>
        <v>31446170.420000002</v>
      </c>
      <c r="G32" s="298">
        <f>'C5-Capex'!H73</f>
        <v>15950671.810000001</v>
      </c>
      <c r="H32" s="221">
        <f t="shared" si="7"/>
        <v>15495498.610000001</v>
      </c>
      <c r="I32" s="186">
        <f t="shared" si="8"/>
        <v>0.97146369723972148</v>
      </c>
      <c r="J32" s="222">
        <f>'C5-Capex'!K73</f>
        <v>20639700</v>
      </c>
      <c r="K32" s="81"/>
    </row>
    <row r="33" spans="1:10" ht="12.75" customHeight="1" x14ac:dyDescent="0.25">
      <c r="A33" s="296" t="s">
        <v>119</v>
      </c>
      <c r="B33" s="212">
        <f t="shared" ref="B33:G33" si="9">+B29+B31+B32</f>
        <v>797724122.45000005</v>
      </c>
      <c r="C33" s="207">
        <f t="shared" si="9"/>
        <v>610994000</v>
      </c>
      <c r="D33" s="200">
        <f t="shared" si="9"/>
        <v>627805200</v>
      </c>
      <c r="E33" s="200">
        <f t="shared" si="9"/>
        <v>32044528.369999997</v>
      </c>
      <c r="F33" s="200">
        <f t="shared" si="9"/>
        <v>404573982.09999996</v>
      </c>
      <c r="G33" s="210">
        <f t="shared" si="9"/>
        <v>495245934.40000004</v>
      </c>
      <c r="H33" s="200">
        <f t="shared" si="7"/>
        <v>-90671952.300000072</v>
      </c>
      <c r="I33" s="230">
        <f t="shared" si="8"/>
        <v>-0.18308469792861778</v>
      </c>
      <c r="J33" s="211">
        <f>+J29+J31+J32</f>
        <v>627805200</v>
      </c>
    </row>
    <row r="34" spans="1:10" ht="5.0999999999999996" customHeight="1" x14ac:dyDescent="0.25">
      <c r="A34" s="304"/>
      <c r="B34" s="107"/>
      <c r="C34" s="108"/>
      <c r="D34" s="26"/>
      <c r="E34" s="26"/>
      <c r="F34" s="26"/>
      <c r="G34" s="26"/>
      <c r="H34" s="26"/>
      <c r="I34" s="109"/>
      <c r="J34" s="110"/>
    </row>
    <row r="35" spans="1:10" ht="12.75" customHeight="1" x14ac:dyDescent="0.25">
      <c r="A35" s="290" t="s">
        <v>447</v>
      </c>
      <c r="B35" s="99"/>
      <c r="C35" s="98"/>
      <c r="D35" s="24"/>
      <c r="E35" s="24"/>
      <c r="F35" s="24"/>
      <c r="G35" s="115"/>
      <c r="H35" s="115"/>
      <c r="I35" s="117"/>
      <c r="J35" s="102"/>
    </row>
    <row r="36" spans="1:10" ht="12.75" customHeight="1" x14ac:dyDescent="0.25">
      <c r="A36" s="291" t="s">
        <v>581</v>
      </c>
      <c r="B36" s="74">
        <f>'C6-FinPos'!C14</f>
        <v>1170448576.3899999</v>
      </c>
      <c r="C36" s="36">
        <f>'C6-FinPos'!D14</f>
        <v>1748555946.8299999</v>
      </c>
      <c r="D36" s="34">
        <f>'C6-FinPos'!E14</f>
        <v>1056733146.3899999</v>
      </c>
      <c r="E36" s="34"/>
      <c r="F36" s="34">
        <f>'C6-FinPos'!F14</f>
        <v>1418744970.8399999</v>
      </c>
      <c r="G36" s="115"/>
      <c r="H36" s="115"/>
      <c r="I36" s="117"/>
      <c r="J36" s="78">
        <f>'C6-FinPos'!G14</f>
        <v>1056733146.3899999</v>
      </c>
    </row>
    <row r="37" spans="1:10" ht="12.75" customHeight="1" x14ac:dyDescent="0.25">
      <c r="A37" s="291" t="s">
        <v>580</v>
      </c>
      <c r="B37" s="74">
        <f>'C6-FinPos'!C26</f>
        <v>7832607740.5199995</v>
      </c>
      <c r="C37" s="36">
        <f>'C6-FinPos'!D26</f>
        <v>8274479988.4399996</v>
      </c>
      <c r="D37" s="34">
        <f>'C6-FinPos'!E26</f>
        <v>8107653834.3100004</v>
      </c>
      <c r="E37" s="34"/>
      <c r="F37" s="34">
        <f>'C6-FinPos'!F26</f>
        <v>7946440932.75</v>
      </c>
      <c r="G37" s="115"/>
      <c r="H37" s="115"/>
      <c r="I37" s="117"/>
      <c r="J37" s="78">
        <f>'C6-FinPos'!G26</f>
        <v>8107653834.3100004</v>
      </c>
    </row>
    <row r="38" spans="1:10" ht="12.75" customHeight="1" x14ac:dyDescent="0.25">
      <c r="A38" s="291" t="s">
        <v>419</v>
      </c>
      <c r="B38" s="74">
        <f>'C6-FinPos'!C38</f>
        <v>951140980.75999987</v>
      </c>
      <c r="C38" s="36">
        <f>'C6-FinPos'!D38</f>
        <v>1185404711.3199999</v>
      </c>
      <c r="D38" s="34">
        <f>'C6-FinPos'!E38</f>
        <v>1010695964.42</v>
      </c>
      <c r="E38" s="34"/>
      <c r="F38" s="34">
        <f>'C6-FinPos'!F38</f>
        <v>934967783.66999996</v>
      </c>
      <c r="G38" s="115"/>
      <c r="H38" s="115"/>
      <c r="I38" s="117"/>
      <c r="J38" s="78">
        <f>'C6-FinPos'!G38</f>
        <v>1010695964.42</v>
      </c>
    </row>
    <row r="39" spans="1:10" ht="12.75" customHeight="1" x14ac:dyDescent="0.25">
      <c r="A39" s="291" t="s">
        <v>418</v>
      </c>
      <c r="B39" s="74">
        <f>'C6-FinPos'!C44</f>
        <v>1768005694.1700001</v>
      </c>
      <c r="C39" s="36">
        <f>'C6-FinPos'!D44</f>
        <v>1882723379.23</v>
      </c>
      <c r="D39" s="34">
        <f>'C6-FinPos'!E44</f>
        <v>1928794950.22</v>
      </c>
      <c r="E39" s="34"/>
      <c r="F39" s="34">
        <f>'C6-FinPos'!F44</f>
        <v>2026917477.3399999</v>
      </c>
      <c r="G39" s="115"/>
      <c r="H39" s="115"/>
      <c r="I39" s="117"/>
      <c r="J39" s="78">
        <f>'C6-FinPos'!G44</f>
        <v>1928794950.22</v>
      </c>
    </row>
    <row r="40" spans="1:10" ht="12.75" customHeight="1" x14ac:dyDescent="0.25">
      <c r="A40" s="291" t="s">
        <v>118</v>
      </c>
      <c r="B40" s="69">
        <f>'C6-FinPos'!C51</f>
        <v>6283909642.7600002</v>
      </c>
      <c r="C40" s="39">
        <f>'C6-FinPos'!D51</f>
        <v>6954907844.3299999</v>
      </c>
      <c r="D40" s="38">
        <f>'C6-FinPos'!E51</f>
        <v>6224896066.2200003</v>
      </c>
      <c r="E40" s="34"/>
      <c r="F40" s="38">
        <f>'C6-FinPos'!F51</f>
        <v>6403300642.5799999</v>
      </c>
      <c r="G40" s="231"/>
      <c r="H40" s="231"/>
      <c r="I40" s="232"/>
      <c r="J40" s="96">
        <f>'C6-FinPos'!G51</f>
        <v>6224896066.2200003</v>
      </c>
    </row>
    <row r="41" spans="1:10" ht="5.0999999999999996" customHeight="1" x14ac:dyDescent="0.25">
      <c r="A41" s="82"/>
      <c r="B41" s="107"/>
      <c r="C41" s="108"/>
      <c r="D41" s="26"/>
      <c r="E41" s="26"/>
      <c r="F41" s="26"/>
      <c r="G41" s="116"/>
      <c r="H41" s="116"/>
      <c r="I41" s="118"/>
      <c r="J41" s="110"/>
    </row>
    <row r="42" spans="1:10" ht="12.75" customHeight="1" x14ac:dyDescent="0.25">
      <c r="A42" s="91" t="s">
        <v>448</v>
      </c>
      <c r="B42" s="111"/>
      <c r="C42" s="112"/>
      <c r="D42" s="25"/>
      <c r="E42" s="25"/>
      <c r="F42" s="25"/>
      <c r="G42" s="25"/>
      <c r="H42" s="25"/>
      <c r="I42" s="113"/>
      <c r="J42" s="114"/>
    </row>
    <row r="43" spans="1:10" ht="12.75" customHeight="1" x14ac:dyDescent="0.25">
      <c r="A43" s="291" t="s">
        <v>597</v>
      </c>
      <c r="B43" s="74">
        <f>'C7-CFlow'!C18</f>
        <v>386486804.30000019</v>
      </c>
      <c r="C43" s="36">
        <f>'C7-CFlow'!D18</f>
        <v>700128180.94999981</v>
      </c>
      <c r="D43" s="34">
        <f>'C7-CFlow'!E18</f>
        <v>409181502.04000092</v>
      </c>
      <c r="E43" s="34">
        <f>'C7-CFlow'!F18</f>
        <v>-9683245.9199999571</v>
      </c>
      <c r="F43" s="34">
        <f>'C7-CFlow'!G18</f>
        <v>507286321.43000078</v>
      </c>
      <c r="G43" s="68">
        <f>'C7-CFlow'!H18</f>
        <v>415181987.07000017</v>
      </c>
      <c r="H43" s="34">
        <f>G43-F43</f>
        <v>-92104334.36000061</v>
      </c>
      <c r="I43" s="105">
        <f>IF(G43=0,"",H43/G43)</f>
        <v>-0.22184087274593564</v>
      </c>
      <c r="J43" s="78">
        <f>'C7-CFlow'!K18</f>
        <v>409181502.04000092</v>
      </c>
    </row>
    <row r="44" spans="1:10" ht="12.75" customHeight="1" x14ac:dyDescent="0.25">
      <c r="A44" s="291" t="s">
        <v>598</v>
      </c>
      <c r="B44" s="74">
        <f>'C7-CFlow'!C28</f>
        <v>-858800516.59000003</v>
      </c>
      <c r="C44" s="36">
        <f>'C7-CFlow'!D28</f>
        <v>-702643100</v>
      </c>
      <c r="D44" s="34">
        <f>'C7-CFlow'!E28</f>
        <v>-721975980.05999994</v>
      </c>
      <c r="E44" s="34">
        <f>'C7-CFlow'!F28</f>
        <v>-48967469.770000003</v>
      </c>
      <c r="F44" s="34">
        <f>'C7-CFlow'!G28</f>
        <v>-508003098.42000002</v>
      </c>
      <c r="G44" s="68">
        <f>'C7-CFlow'!H28</f>
        <v>-569532824.60000002</v>
      </c>
      <c r="H44" s="34">
        <f>G44-F44</f>
        <v>-61529726.180000007</v>
      </c>
      <c r="I44" s="105">
        <f>IF(G44=0,"",H44/G44)</f>
        <v>0.10803543452164356</v>
      </c>
      <c r="J44" s="78">
        <f>'C7-CFlow'!K28</f>
        <v>-721975980.05999994</v>
      </c>
    </row>
    <row r="45" spans="1:10" ht="12.75" customHeight="1" x14ac:dyDescent="0.25">
      <c r="A45" s="291" t="s">
        <v>596</v>
      </c>
      <c r="B45" s="74">
        <f>'C7-CFlow'!C37</f>
        <v>234005991.78</v>
      </c>
      <c r="C45" s="36">
        <f>'C7-CFlow'!D37</f>
        <v>198219100</v>
      </c>
      <c r="D45" s="34">
        <f>'C7-CFlow'!E37</f>
        <v>187751500</v>
      </c>
      <c r="E45" s="34">
        <f>'C7-CFlow'!F37</f>
        <v>-88021.5</v>
      </c>
      <c r="F45" s="34">
        <f>'C7-CFlow'!G37</f>
        <v>282439212.15000004</v>
      </c>
      <c r="G45" s="68">
        <f>'C7-CFlow'!H37</f>
        <v>106652800</v>
      </c>
      <c r="H45" s="34">
        <f>G45-F45</f>
        <v>-175786412.15000004</v>
      </c>
      <c r="I45" s="105">
        <f>IF(G45=0,"",H45/G45)</f>
        <v>-1.6482118814508389</v>
      </c>
      <c r="J45" s="78">
        <f>'C7-CFlow'!K37</f>
        <v>187751500</v>
      </c>
    </row>
    <row r="46" spans="1:10" ht="12.75" customHeight="1" x14ac:dyDescent="0.25">
      <c r="A46" s="296" t="s">
        <v>39</v>
      </c>
      <c r="B46" s="69">
        <f>'C7-CFlow'!C41</f>
        <v>272466860.54999995</v>
      </c>
      <c r="C46" s="39">
        <f>'C7-CFlow'!D41</f>
        <v>505852550.83999979</v>
      </c>
      <c r="D46" s="38"/>
      <c r="E46" s="38">
        <f>'C7-CFlow'!F41</f>
        <v>-58738737.18999996</v>
      </c>
      <c r="F46" s="38">
        <f>'C7-CFlow'!G41</f>
        <v>554189295.71000075</v>
      </c>
      <c r="G46" s="70">
        <f>'C7-CFlow'!H41</f>
        <v>224768823.02000016</v>
      </c>
      <c r="H46" s="38">
        <f>G46-F46</f>
        <v>-329420472.69000059</v>
      </c>
      <c r="I46" s="104">
        <f>IF(H46=0,"",H46/G46)</f>
        <v>-1.4655968219430877</v>
      </c>
      <c r="J46" s="96">
        <f>'C7-CFlow'!K41</f>
        <v>147423882.53000098</v>
      </c>
    </row>
    <row r="47" spans="1:10" ht="5.0999999999999996" customHeight="1" x14ac:dyDescent="0.25">
      <c r="A47" s="82"/>
      <c r="B47" s="107"/>
      <c r="C47" s="108"/>
      <c r="D47" s="26"/>
      <c r="E47" s="26"/>
      <c r="F47" s="26"/>
      <c r="G47" s="26"/>
      <c r="H47" s="26"/>
      <c r="I47" s="109"/>
      <c r="J47" s="110"/>
    </row>
    <row r="48" spans="1:10" ht="25.5" customHeight="1" x14ac:dyDescent="0.25">
      <c r="A48" s="620" t="s">
        <v>853</v>
      </c>
      <c r="B48" s="83" t="str">
        <f>'SC3'!C3</f>
        <v>0-30 Days</v>
      </c>
      <c r="C48" s="305" t="str">
        <f>'SC3'!D3</f>
        <v>31-60 Days</v>
      </c>
      <c r="D48" s="306" t="str">
        <f>'SC3'!E3</f>
        <v>61-90 Days</v>
      </c>
      <c r="E48" s="306" t="str">
        <f>'SC3'!F3</f>
        <v>91-120 Days</v>
      </c>
      <c r="F48" s="306" t="str">
        <f>'SC3'!G3</f>
        <v>121-150 Dys</v>
      </c>
      <c r="G48" s="306" t="str">
        <f>'SC3'!H3</f>
        <v>151-180 Dys</v>
      </c>
      <c r="H48" s="306" t="str">
        <f>'SC3'!I3</f>
        <v>181 Dys-1 Yr</v>
      </c>
      <c r="I48" s="306" t="str">
        <f>'SC3'!J3</f>
        <v>Over 1Yr</v>
      </c>
      <c r="J48" s="20" t="s">
        <v>41</v>
      </c>
    </row>
    <row r="49" spans="1:10" ht="12.75" customHeight="1" x14ac:dyDescent="0.25">
      <c r="A49" s="290" t="str">
        <f>LEFT('SC3'!A4,20)</f>
        <v>Debtors Age Analysis</v>
      </c>
      <c r="B49" s="99"/>
      <c r="C49" s="98"/>
      <c r="D49" s="24"/>
      <c r="E49" s="24"/>
      <c r="F49" s="24"/>
      <c r="G49" s="24"/>
      <c r="H49" s="24"/>
      <c r="I49" s="105"/>
      <c r="J49" s="102"/>
    </row>
    <row r="50" spans="1:10" ht="12.75" customHeight="1" x14ac:dyDescent="0.25">
      <c r="A50" s="88" t="str">
        <f>'SC3'!A14</f>
        <v>Total By Income Source</v>
      </c>
      <c r="B50" s="74">
        <f>'SC3'!C14</f>
        <v>438629194.72000015</v>
      </c>
      <c r="C50" s="36">
        <f>'SC3'!D14</f>
        <v>23593006.140000001</v>
      </c>
      <c r="D50" s="34">
        <f>'SC3'!E14</f>
        <v>28163145.959999997</v>
      </c>
      <c r="E50" s="34">
        <f>'SC3'!F14</f>
        <v>17486121.879999999</v>
      </c>
      <c r="F50" s="34">
        <f>'SC3'!G14</f>
        <v>10745260.710000001</v>
      </c>
      <c r="G50" s="68">
        <f>'SC3'!H14</f>
        <v>18001650.940000001</v>
      </c>
      <c r="H50" s="34">
        <f>'SC3'!I14</f>
        <v>105096902.52000001</v>
      </c>
      <c r="I50" s="68">
        <f>'SC3'!J14</f>
        <v>312179117.07999998</v>
      </c>
      <c r="J50" s="78">
        <f>'SC3'!K14</f>
        <v>953894399.94999993</v>
      </c>
    </row>
    <row r="51" spans="1:10" ht="12.75" customHeight="1" x14ac:dyDescent="0.25">
      <c r="A51" s="290" t="str">
        <f>LEFT('SC4'!A5,22)</f>
        <v>Creditors Age Analysis</v>
      </c>
      <c r="B51" s="99"/>
      <c r="C51" s="98"/>
      <c r="D51" s="24"/>
      <c r="E51" s="24"/>
      <c r="F51" s="24"/>
      <c r="G51" s="24"/>
      <c r="H51" s="24"/>
      <c r="I51" s="105"/>
      <c r="J51" s="102"/>
    </row>
    <row r="52" spans="1:10" ht="12.75" customHeight="1" x14ac:dyDescent="0.25">
      <c r="A52" s="88" t="s">
        <v>416</v>
      </c>
      <c r="B52" s="74">
        <f>'SC4'!C16</f>
        <v>198580177.17999998</v>
      </c>
      <c r="C52" s="36">
        <f>'SC4'!D16</f>
        <v>0</v>
      </c>
      <c r="D52" s="34">
        <f>'SC4'!E16</f>
        <v>0</v>
      </c>
      <c r="E52" s="34">
        <f>'SC4'!F16</f>
        <v>0</v>
      </c>
      <c r="F52" s="34">
        <f>'SC4'!G16</f>
        <v>0</v>
      </c>
      <c r="G52" s="68">
        <f>'SC4'!H16</f>
        <v>0</v>
      </c>
      <c r="H52" s="34">
        <f>'SC4'!I16</f>
        <v>0</v>
      </c>
      <c r="I52" s="68">
        <f>'SC4'!J16</f>
        <v>0</v>
      </c>
      <c r="J52" s="78">
        <f>'SC4'!K16</f>
        <v>198580177.17999998</v>
      </c>
    </row>
    <row r="53" spans="1:10" ht="12.75" customHeight="1" x14ac:dyDescent="0.25">
      <c r="A53" s="82"/>
      <c r="B53" s="307"/>
      <c r="C53" s="308"/>
      <c r="D53" s="309"/>
      <c r="E53" s="309"/>
      <c r="F53" s="309"/>
      <c r="G53" s="309"/>
      <c r="H53" s="309"/>
      <c r="I53" s="109"/>
      <c r="J53" s="310"/>
    </row>
    <row r="54" spans="1:10" ht="12.75" customHeight="1" x14ac:dyDescent="0.25">
      <c r="B54" s="81"/>
      <c r="C54" s="81"/>
      <c r="D54" s="81"/>
      <c r="E54" s="81"/>
      <c r="F54" s="81"/>
      <c r="G54" s="81"/>
      <c r="H54" s="81"/>
      <c r="I54" s="158"/>
      <c r="J54" s="81"/>
    </row>
    <row r="55" spans="1:10" x14ac:dyDescent="0.25">
      <c r="A55" s="829"/>
      <c r="B55" s="829"/>
      <c r="C55" s="829"/>
      <c r="D55" s="829"/>
      <c r="E55" s="829"/>
      <c r="F55" s="829"/>
      <c r="G55" s="829"/>
      <c r="H55" s="829"/>
      <c r="I55" s="829"/>
      <c r="J55" s="829"/>
    </row>
    <row r="56" spans="1:10" x14ac:dyDescent="0.25">
      <c r="A56" s="73"/>
      <c r="B56" s="73"/>
      <c r="C56" s="73"/>
      <c r="D56" s="73"/>
      <c r="E56" s="73"/>
      <c r="F56" s="73"/>
      <c r="G56" s="73"/>
      <c r="H56" s="73"/>
      <c r="I56" s="44"/>
      <c r="J56" s="73"/>
    </row>
  </sheetData>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8" scale="120" orientation="portrait" r:id="rId1"/>
  <headerFooter alignWithMargins="0">
    <oddHeader>&amp;RC-SCHEDULE: M10</oddHeader>
    <oddFooter>&amp;L&amp;F&amp;C&amp;A&amp;R&amp;D</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Application xmlns="http://www.sap.com/cof/excel/application">
  <Version>2</Version>
  <Revision>2.8.1401.98825</Revision>
</Application>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4DAF606-92AC-4B4B-AC62-8E4820DB320F}">
  <ds:schemaRefs>
    <ds:schemaRef ds:uri="http://schemas.microsoft.com/sharepoint/v3/contenttype/forms"/>
  </ds:schemaRefs>
</ds:datastoreItem>
</file>

<file path=customXml/itemProps2.xml><?xml version="1.0" encoding="utf-8"?>
<ds:datastoreItem xmlns:ds="http://schemas.openxmlformats.org/officeDocument/2006/customXml" ds:itemID="{13E6B283-7208-4FA5-9E04-971C41CDE7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C49988-622A-49AB-B788-A00AD75541B5}">
  <ds:schemaRefs>
    <ds:schemaRef ds:uri="http://www.sap.com/cof/excel/application"/>
  </ds:schemaRefs>
</ds:datastoreItem>
</file>

<file path=customXml/itemProps4.xml><?xml version="1.0" encoding="utf-8"?>
<ds:datastoreItem xmlns:ds="http://schemas.openxmlformats.org/officeDocument/2006/customXml" ds:itemID="{983028D1-5609-4530-8B33-C93F2AF828F5}">
  <ds:schemaRefs>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 ds:uri="http://purl.org/dc/terms/"/>
    <ds:schemaRef ds:uri="http://schemas.microsoft.com/office/2006/documentManagement/types"/>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179</vt:i4>
      </vt:variant>
    </vt:vector>
  </HeadingPairs>
  <TitlesOfParts>
    <vt:vector size="233" baseType="lpstr">
      <vt:lpstr>START</vt:lpstr>
      <vt:lpstr>Instructions</vt:lpstr>
      <vt:lpstr>Org structure</vt:lpstr>
      <vt:lpstr>Contacts</vt:lpstr>
      <vt:lpstr>Calc</vt:lpstr>
      <vt:lpstr>C1-Sum</vt:lpstr>
      <vt:lpstr>C2-FinPerf SC</vt:lpstr>
      <vt:lpstr>C2C</vt:lpstr>
      <vt:lpstr>C2Q</vt:lpstr>
      <vt:lpstr>C3-FinPerf V</vt:lpstr>
      <vt:lpstr>C3C</vt:lpstr>
      <vt:lpstr>C3Q</vt:lpstr>
      <vt:lpstr>C4-FinPerf RE</vt:lpstr>
      <vt:lpstr>C4Q</vt:lpstr>
      <vt:lpstr>C5-Capex</vt:lpstr>
      <vt:lpstr>C5-CQ</vt:lpstr>
      <vt:lpstr>C5C</vt:lpstr>
      <vt:lpstr>C5Q</vt:lpstr>
      <vt:lpstr>C6-FinPos</vt:lpstr>
      <vt:lpstr>C6Q</vt:lpstr>
      <vt:lpstr>C7-CFlow</vt:lpstr>
      <vt:lpstr>C7Q</vt:lpstr>
      <vt:lpstr>SC1</vt:lpstr>
      <vt:lpstr>SC2</vt:lpstr>
      <vt:lpstr>SC3</vt:lpstr>
      <vt:lpstr>SC3Q</vt:lpstr>
      <vt:lpstr>SC4</vt:lpstr>
      <vt:lpstr>SC4Q</vt:lpstr>
      <vt:lpstr>SC5</vt:lpstr>
      <vt:lpstr>SC5Q</vt:lpstr>
      <vt:lpstr>SC6</vt:lpstr>
      <vt:lpstr>SC6Q</vt:lpstr>
      <vt:lpstr>SC7(1)</vt:lpstr>
      <vt:lpstr>SC7(2)</vt:lpstr>
      <vt:lpstr>SC8</vt:lpstr>
      <vt:lpstr>SC8Q</vt:lpstr>
      <vt:lpstr>SC9</vt:lpstr>
      <vt:lpstr>SC9 Q</vt:lpstr>
      <vt:lpstr>SC10</vt:lpstr>
      <vt:lpstr>SC11</vt:lpstr>
      <vt:lpstr>SC12</vt:lpstr>
      <vt:lpstr>SC12Q</vt:lpstr>
      <vt:lpstr>SC13a</vt:lpstr>
      <vt:lpstr>SC13AQ</vt:lpstr>
      <vt:lpstr>SC13b</vt:lpstr>
      <vt:lpstr>SC13BQ</vt:lpstr>
      <vt:lpstr>SC13c</vt:lpstr>
      <vt:lpstr>SC13CQ</vt:lpstr>
      <vt:lpstr>SC13d</vt:lpstr>
      <vt:lpstr>SC13DQ</vt:lpstr>
      <vt:lpstr>SC13e</vt:lpstr>
      <vt:lpstr>SC13EQ</vt:lpstr>
      <vt:lpstr>C schedule validations</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SAPCrosstab1</vt:lpstr>
      <vt:lpstr>SAPCrosstab10</vt:lpstr>
      <vt:lpstr>SAPCrosstab11</vt:lpstr>
      <vt:lpstr>SAPCrosstab12</vt:lpstr>
      <vt:lpstr>SAPCrosstab14</vt:lpstr>
      <vt:lpstr>SAPCrosstab15</vt:lpstr>
      <vt:lpstr>SAPCrosstab16</vt:lpstr>
      <vt:lpstr>SAPCrosstab17</vt:lpstr>
      <vt:lpstr>SAPCrosstab18</vt:lpstr>
      <vt:lpstr>SAPCrosstab19</vt:lpstr>
      <vt:lpstr>SAPCrosstab2</vt:lpstr>
      <vt:lpstr>SAPCrosstab20</vt:lpstr>
      <vt:lpstr>SAPCrosstab21</vt:lpstr>
      <vt:lpstr>SAPCrosstab22</vt:lpstr>
      <vt:lpstr>SAPCrosstab23</vt:lpstr>
      <vt:lpstr>SAPCrosstab24</vt:lpstr>
      <vt:lpstr>SAPCrosstab25</vt:lpstr>
      <vt:lpstr>SAPCrosstab3</vt:lpstr>
      <vt:lpstr>SAPCrosstab4</vt:lpstr>
      <vt:lpstr>SAPCrosstab5</vt:lpstr>
      <vt:lpstr>SAPCrosstab6</vt:lpstr>
      <vt:lpstr>SAPCrosstab7</vt:lpstr>
      <vt:lpstr>SAPCrosstab8</vt:lpstr>
      <vt:lpstr>SAPCrosstab9</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User</cp:lastModifiedBy>
  <cp:lastPrinted>2025-05-27T10:22:26Z</cp:lastPrinted>
  <dcterms:created xsi:type="dcterms:W3CDTF">2004-04-07T16:19:08Z</dcterms:created>
  <dcterms:modified xsi:type="dcterms:W3CDTF">2025-06-09T09:55:15Z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ublishingExpirationDate">
    <vt:lpwstr/>
  </property>
  <property fmtid="{D5CDD505-2E9C-101B-9397-08002B2CF9AE}" pid="3" name="PublishingStartDate">
    <vt:lpwstr/>
  </property>
  <property fmtid="{D5CDD505-2E9C-101B-9397-08002B2CF9AE}" pid="4" name="MediaServiceImageTags">
    <vt:lpwstr/>
  </property>
  <property fmtid="{D5CDD505-2E9C-101B-9397-08002B2CF9AE}" pid="5" name="MSIP_Label_93c4247e-447d-4732-af29-2e529a4288f1_Enabled">
    <vt:lpwstr>true</vt:lpwstr>
  </property>
  <property fmtid="{D5CDD505-2E9C-101B-9397-08002B2CF9AE}" pid="6" name="MSIP_Label_93c4247e-447d-4732-af29-2e529a4288f1_SetDate">
    <vt:lpwstr>2023-02-03T10:11:23Z</vt:lpwstr>
  </property>
  <property fmtid="{D5CDD505-2E9C-101B-9397-08002B2CF9AE}" pid="7" name="MSIP_Label_93c4247e-447d-4732-af29-2e529a4288f1_Method">
    <vt:lpwstr>Standard</vt:lpwstr>
  </property>
  <property fmtid="{D5CDD505-2E9C-101B-9397-08002B2CF9AE}" pid="8" name="MSIP_Label_93c4247e-447d-4732-af29-2e529a4288f1_Name">
    <vt:lpwstr>93c4247e-447d-4732-af29-2e529a4288f1</vt:lpwstr>
  </property>
  <property fmtid="{D5CDD505-2E9C-101B-9397-08002B2CF9AE}" pid="9" name="MSIP_Label_93c4247e-447d-4732-af29-2e529a4288f1_SiteId">
    <vt:lpwstr>1a45348f-02b4-4f9a-a7a8-7786f6dd3245</vt:lpwstr>
  </property>
  <property fmtid="{D5CDD505-2E9C-101B-9397-08002B2CF9AE}" pid="10" name="MSIP_Label_93c4247e-447d-4732-af29-2e529a4288f1_ActionId">
    <vt:lpwstr>22a36cd8-2567-44bc-8539-887ce38840f2</vt:lpwstr>
  </property>
  <property fmtid="{D5CDD505-2E9C-101B-9397-08002B2CF9AE}" pid="11" name="MSIP_Label_93c4247e-447d-4732-af29-2e529a4288f1_ContentBits">
    <vt:lpwstr>0</vt:lpwstr>
  </property>
  <property fmtid="{D5CDD505-2E9C-101B-9397-08002B2CF9AE}" pid="12" name="ContentTypeId">
    <vt:lpwstr>0x01010047E4401F70939B408F4A9CF3E0982304</vt:lpwstr>
  </property>
  <property fmtid="{D5CDD505-2E9C-101B-9397-08002B2CF9AE}" pid="13" name="CustomUiType">
    <vt:lpwstr>2</vt:lpwstr>
  </property>
</Properties>
</file>